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22" firstSheet="1"/>
  </bookViews>
  <sheets>
    <sheet name="2025年公卫资金预算表 (汇总，7.17修改) " sheetId="22" r:id="rId1"/>
    <sheet name="绩点计算" sheetId="21" r:id="rId2"/>
    <sheet name="数据来源" sheetId="16" r:id="rId3"/>
  </sheets>
  <definedNames>
    <definedName name="_xlnm._FilterDatabase" localSheetId="0" hidden="1">'2025年公卫资金预算表 (汇总，7.17修改) '!$A$1:$XFA$30</definedName>
    <definedName name="_xlnm.Print_Area" localSheetId="1">绩点计算!$A$1:$I$54</definedName>
    <definedName name="_xlnm.Print_Area" localSheetId="0">'2025年公卫资金预算表 (汇总，7.17修改) '!$A$1:$BO$30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<sst xmlns="http://schemas.openxmlformats.org/spreadsheetml/2006/main" count="383" uniqueCount="214">
  <si>
    <r>
      <rPr>
        <sz val="36"/>
        <rFont val="方正小标宋简体"/>
        <charset val="134"/>
      </rPr>
      <t xml:space="preserve">2025年基本公共卫生服务项目经费预算表
</t>
    </r>
    <r>
      <rPr>
        <sz val="28"/>
        <rFont val="楷体_GB2312"/>
        <charset val="134"/>
      </rPr>
      <t>湘财预〔2025〕132号</t>
    </r>
    <r>
      <rPr>
        <sz val="36"/>
        <rFont val="方正小标宋简体"/>
        <charset val="134"/>
      </rPr>
      <t xml:space="preserve">
</t>
    </r>
  </si>
  <si>
    <t>制表单位（盖章）：江华瑶族自治县卫生健康局</t>
  </si>
  <si>
    <r>
      <rPr>
        <sz val="18"/>
        <rFont val="宋体"/>
        <charset val="0"/>
      </rPr>
      <t>制表时间：</t>
    </r>
    <r>
      <rPr>
        <sz val="18"/>
        <rFont val="Times New Roman"/>
        <charset val="0"/>
      </rPr>
      <t>2025</t>
    </r>
    <r>
      <rPr>
        <sz val="18"/>
        <rFont val="宋体"/>
        <charset val="0"/>
      </rPr>
      <t>年</t>
    </r>
    <r>
      <rPr>
        <sz val="18"/>
        <rFont val="Times New Roman"/>
        <charset val="0"/>
      </rPr>
      <t>7</t>
    </r>
    <r>
      <rPr>
        <sz val="18"/>
        <rFont val="宋体"/>
        <charset val="0"/>
      </rPr>
      <t>月</t>
    </r>
    <r>
      <rPr>
        <sz val="18"/>
        <rFont val="Times New Roman"/>
        <charset val="0"/>
      </rPr>
      <t>25</t>
    </r>
    <r>
      <rPr>
        <sz val="18"/>
        <rFont val="宋体"/>
        <charset val="0"/>
      </rPr>
      <t>日</t>
    </r>
  </si>
  <si>
    <t>乡镇</t>
  </si>
  <si>
    <t>1.乡镇基础经费和偏远地区定额补助</t>
  </si>
  <si>
    <t>2.家庭医生签约经费</t>
  </si>
  <si>
    <t>3.其余管理人群项目绩点经费</t>
  </si>
  <si>
    <r>
      <rPr>
        <b/>
        <sz val="16"/>
        <rFont val="宋体"/>
        <charset val="0"/>
      </rPr>
      <t>4.5%</t>
    </r>
    <r>
      <rPr>
        <b/>
        <sz val="16"/>
        <color rgb="FFFF0000"/>
        <rFont val="宋体"/>
        <charset val="0"/>
      </rPr>
      <t>绩效考核</t>
    </r>
    <r>
      <rPr>
        <b/>
        <sz val="16"/>
        <rFont val="宋体"/>
        <charset val="0"/>
      </rPr>
      <t>因素预分配</t>
    </r>
  </si>
  <si>
    <t>拟分配指标总额（万元）隐藏</t>
  </si>
  <si>
    <t>拟分配指标总额（万元）</t>
  </si>
  <si>
    <t>第一批已预拨资金
（万元）</t>
  </si>
  <si>
    <t>本次分配金额
（万元）</t>
  </si>
  <si>
    <t>2.签约
经费
合计（元）</t>
  </si>
  <si>
    <t>2.1基础服务包
（20元/人/年）</t>
  </si>
  <si>
    <t>2.2增值服务包-重点人群（40元/人/年）</t>
  </si>
  <si>
    <t>3.1-3.12项绩点经费分配</t>
  </si>
  <si>
    <t>3.1居民健康档案管理服务绩点
（18绩点/人）</t>
  </si>
  <si>
    <t>3.2预防接种一类疫苗绩点
（60绩点/针剂）</t>
  </si>
  <si>
    <t>3.3.1  新生儿健康管理服务
（340绩点/人）</t>
  </si>
  <si>
    <t>3.3.2   1岁以下婴幼儿健康管理服务
（280绩点/人）</t>
  </si>
  <si>
    <t>3.3.3   1-3岁婴幼儿健康管理服务
（140绩点/人）</t>
  </si>
  <si>
    <t>3.3.4  学龄前儿童健康管理
(50绩点/人)</t>
  </si>
  <si>
    <t>3.4.1孕产妇健康管理绩点
(860绩点/人)</t>
  </si>
  <si>
    <t>3.4.2产后管理绩点
(260绩点/人)</t>
  </si>
  <si>
    <t>3.5老年人绩点
（282绩点/人）</t>
  </si>
  <si>
    <t>3.6.1高血压患者诊断绩点
(40绩点/人)</t>
  </si>
  <si>
    <t>3.6.2高血压患者年内购药绩点
(35绩点/次)</t>
  </si>
  <si>
    <t>3.6.3高血压患者年内随访绩点
(50绩点/次)</t>
  </si>
  <si>
    <t>3.6.4高血压患者年内转诊绩点
(20绩点/人)</t>
  </si>
  <si>
    <t>3.7.1糖尿病患者诊断绩点
(40绩点/人)</t>
  </si>
  <si>
    <t>3.7.2糖尿病患者年内购药绩点
(35绩点/次)</t>
  </si>
  <si>
    <t>3.7.3糖尿病患者年内随访绩点
(50绩点/次)</t>
  </si>
  <si>
    <t>3.7.4糖尿病患者年内转诊绩点
(20绩点/人)</t>
  </si>
  <si>
    <t>3.8严重精神障碍患者管理绩点
(1430绩点/人)</t>
  </si>
  <si>
    <t>3.9肺结核绩点
(2184绩点/人)</t>
  </si>
  <si>
    <t>3.10慢阻肺绩点
(490绩点/人)</t>
  </si>
  <si>
    <t>3.11老年人中医管理服务绩点
(20绩点/次)</t>
  </si>
  <si>
    <t>3.12儿童中医药管理服务绩点
(120绩点/人)</t>
  </si>
  <si>
    <t>小计</t>
  </si>
  <si>
    <t>中央</t>
  </si>
  <si>
    <t>省级</t>
  </si>
  <si>
    <t>县级</t>
  </si>
  <si>
    <t>常住
人口（人）</t>
  </si>
  <si>
    <t>乡镇类型</t>
  </si>
  <si>
    <t>基础经费和偏远地区定额补助标准</t>
  </si>
  <si>
    <t>分配
经费（元）</t>
  </si>
  <si>
    <t>任务数（人）</t>
  </si>
  <si>
    <t>绩点小计</t>
  </si>
  <si>
    <t>绩点
单价（元）</t>
  </si>
  <si>
    <t>绩点
预拨金额（元）</t>
  </si>
  <si>
    <t>系统数（人）</t>
  </si>
  <si>
    <t>有效绩点</t>
  </si>
  <si>
    <t>系统数（次）</t>
  </si>
  <si>
    <t>沱江镇</t>
  </si>
  <si>
    <t>农区</t>
  </si>
  <si>
    <t>桥头铺</t>
  </si>
  <si>
    <t>涔天河镇</t>
  </si>
  <si>
    <t>林区</t>
  </si>
  <si>
    <t>大路铺镇</t>
  </si>
  <si>
    <t>白芒营镇</t>
  </si>
  <si>
    <t>涛圩镇</t>
  </si>
  <si>
    <t>河路口镇</t>
  </si>
  <si>
    <t>小圩乡</t>
  </si>
  <si>
    <t>大圩镇</t>
  </si>
  <si>
    <t>水口镇</t>
  </si>
  <si>
    <t>码市镇</t>
  </si>
  <si>
    <t>界牌乡</t>
  </si>
  <si>
    <t>桥市乡</t>
  </si>
  <si>
    <t>大石桥乡</t>
  </si>
  <si>
    <t>湘江乡</t>
  </si>
  <si>
    <t>偏远</t>
  </si>
  <si>
    <t>蔚竹口乡</t>
  </si>
  <si>
    <t>大锡乡</t>
  </si>
  <si>
    <t>合计</t>
  </si>
  <si>
    <r>
      <rPr>
        <sz val="18"/>
        <rFont val="宋体"/>
        <charset val="134"/>
      </rPr>
      <t>指标分配说明（2025年全年应分配基本公共卫生服务项目总资金</t>
    </r>
    <r>
      <rPr>
        <b/>
        <sz val="18"/>
        <rFont val="宋体"/>
        <charset val="134"/>
      </rPr>
      <t>3952.80万元</t>
    </r>
    <r>
      <rPr>
        <sz val="18"/>
        <rFont val="宋体"/>
        <charset val="134"/>
      </rPr>
      <t>，</t>
    </r>
    <r>
      <rPr>
        <b/>
        <sz val="18"/>
        <rFont val="宋体"/>
        <charset val="134"/>
      </rPr>
      <t>人均经费90元/人。</t>
    </r>
    <r>
      <rPr>
        <sz val="18"/>
        <rFont val="宋体"/>
        <charset val="134"/>
      </rPr>
      <t xml:space="preserve">
第一批已预拨资金3459.49万元(中央资金2909.26万元，省级资金550.23万元），第二批到位资金493.31万元(中央资金252.98万元，省级资金82.22万元，县级资金158.11)：</t>
    </r>
  </si>
  <si>
    <r>
      <rPr>
        <sz val="18"/>
        <rFont val="宋体"/>
        <charset val="134"/>
      </rPr>
      <t>1.基础经费和偏远地区定额补助分配</t>
    </r>
    <r>
      <rPr>
        <b/>
        <sz val="18"/>
        <rFont val="宋体"/>
        <charset val="134"/>
      </rPr>
      <t>8069963元</t>
    </r>
    <r>
      <rPr>
        <sz val="18"/>
        <rFont val="宋体"/>
        <charset val="134"/>
      </rPr>
      <t xml:space="preserve">：按人均90元/人标准，根据常住人口和偏远地区程度进行分配。
</t>
    </r>
    <r>
      <rPr>
        <b/>
        <sz val="18"/>
        <rFont val="宋体"/>
        <charset val="134"/>
      </rPr>
      <t>①</t>
    </r>
    <r>
      <rPr>
        <sz val="18"/>
        <rFont val="宋体"/>
        <charset val="134"/>
      </rPr>
      <t>沱江（根据绩点制方案，沱江城区暂不安排项目基础经费）、河路口、涛圩、大石桥、白芒营、桥市、大路铺、界牌等农区乡镇</t>
    </r>
    <r>
      <rPr>
        <sz val="18"/>
        <color rgb="FFFF0000"/>
        <rFont val="宋体"/>
        <charset val="134"/>
      </rPr>
      <t>按人均经费的20%分配，</t>
    </r>
    <r>
      <rPr>
        <sz val="18"/>
        <rFont val="宋体"/>
        <charset val="134"/>
      </rPr>
      <t xml:space="preserve">即18元/人；
</t>
    </r>
    <r>
      <rPr>
        <b/>
        <sz val="18"/>
        <rFont val="宋体"/>
        <charset val="134"/>
      </rPr>
      <t>②</t>
    </r>
    <r>
      <rPr>
        <sz val="18"/>
        <rFont val="宋体"/>
        <charset val="134"/>
      </rPr>
      <t>码市、大圩、小圩、水口、涔天河等林区乡镇</t>
    </r>
    <r>
      <rPr>
        <sz val="18"/>
        <color rgb="FFFF0000"/>
        <rFont val="宋体"/>
        <charset val="134"/>
      </rPr>
      <t>按人均经费的25%分配</t>
    </r>
    <r>
      <rPr>
        <sz val="18"/>
        <rFont val="宋体"/>
        <charset val="134"/>
      </rPr>
      <t xml:space="preserve">，即22.5元/人；
</t>
    </r>
    <r>
      <rPr>
        <b/>
        <sz val="18"/>
        <rFont val="宋体"/>
        <charset val="134"/>
      </rPr>
      <t>③</t>
    </r>
    <r>
      <rPr>
        <sz val="18"/>
        <rFont val="宋体"/>
        <charset val="134"/>
      </rPr>
      <t>大锡、湘江、蔚竹口等偏远乡镇</t>
    </r>
    <r>
      <rPr>
        <sz val="18"/>
        <color rgb="FFFF0000"/>
        <rFont val="宋体"/>
        <charset val="134"/>
      </rPr>
      <t>按人均经费的35%分配</t>
    </r>
    <r>
      <rPr>
        <sz val="18"/>
        <rFont val="宋体"/>
        <charset val="134"/>
      </rPr>
      <t>，即31.5元/人。</t>
    </r>
  </si>
  <si>
    <r>
      <rPr>
        <sz val="18"/>
        <color rgb="FFFF0000"/>
        <rFont val="宋体"/>
        <charset val="134"/>
      </rPr>
      <t>2.家庭医生签约按年度任务数预分配资金</t>
    </r>
    <r>
      <rPr>
        <b/>
        <sz val="18"/>
        <color rgb="FFFF0000"/>
        <rFont val="宋体"/>
        <charset val="134"/>
      </rPr>
      <t>12189140元。</t>
    </r>
  </si>
  <si>
    <r>
      <rPr>
        <sz val="18"/>
        <rFont val="宋体"/>
        <charset val="134"/>
      </rPr>
      <t>3</t>
    </r>
    <r>
      <rPr>
        <sz val="18"/>
        <color rgb="FFFF0000"/>
        <rFont val="宋体"/>
        <charset val="134"/>
      </rPr>
      <t>.绩点经费预分配</t>
    </r>
    <r>
      <rPr>
        <sz val="18"/>
        <rFont val="宋体"/>
        <charset val="134"/>
      </rPr>
      <t xml:space="preserve">：
</t>
    </r>
    <r>
      <rPr>
        <b/>
        <sz val="18"/>
        <rFont val="宋体"/>
        <charset val="134"/>
      </rPr>
      <t>①</t>
    </r>
    <r>
      <rPr>
        <sz val="18"/>
        <rFont val="宋体"/>
        <charset val="134"/>
      </rPr>
      <t>分配金额为总资金(39528000元)—定额补助(8069963元)—家庭医生签约资金(12189140元)—考核绩效资金(1976400元)=</t>
    </r>
    <r>
      <rPr>
        <b/>
        <sz val="18"/>
        <rFont val="宋体"/>
        <charset val="134"/>
      </rPr>
      <t>17292497元。</t>
    </r>
    <r>
      <rPr>
        <sz val="18"/>
        <rFont val="宋体"/>
        <charset val="134"/>
      </rPr>
      <t xml:space="preserve">
</t>
    </r>
    <r>
      <rPr>
        <b/>
        <sz val="18"/>
        <rFont val="宋体"/>
        <charset val="134"/>
      </rPr>
      <t>②</t>
    </r>
    <r>
      <rPr>
        <sz val="18"/>
        <rFont val="宋体"/>
        <charset val="134"/>
      </rPr>
      <t>总绩点预计</t>
    </r>
    <r>
      <rPr>
        <sz val="18"/>
        <color rgb="FF000000"/>
        <rFont val="宋体"/>
        <charset val="134"/>
      </rPr>
      <t>为</t>
    </r>
    <r>
      <rPr>
        <b/>
        <sz val="18"/>
        <color rgb="FF000000"/>
        <rFont val="宋体"/>
        <charset val="134"/>
      </rPr>
      <t>61901922</t>
    </r>
    <r>
      <rPr>
        <b/>
        <sz val="18"/>
        <color rgb="FFFF0000"/>
        <rFont val="宋体"/>
        <charset val="134"/>
      </rPr>
      <t>点</t>
    </r>
    <r>
      <rPr>
        <sz val="18"/>
        <rFont val="宋体"/>
        <charset val="134"/>
      </rPr>
      <t>，</t>
    </r>
    <r>
      <rPr>
        <sz val="18"/>
        <color rgb="FFFF0000"/>
        <rFont val="宋体"/>
        <charset val="134"/>
      </rPr>
      <t>绩点单价=绩点经费/总绩点，即0.279元</t>
    </r>
    <r>
      <rPr>
        <sz val="18"/>
        <rFont val="宋体"/>
        <charset val="134"/>
      </rPr>
      <t>（沱江镇因人口集中、交通便利，服务成本相对较低，老年人健康管理服务绩点及两病患者年内管理(随访)绩点均按绩点标准的50%执行），年终按实际绩点进行结算。</t>
    </r>
  </si>
  <si>
    <r>
      <t>4.</t>
    </r>
    <r>
      <rPr>
        <sz val="18"/>
        <color rgb="FFFF0000"/>
        <rFont val="宋体"/>
        <charset val="134"/>
      </rPr>
      <t>绩效考核因素分配（5%）</t>
    </r>
    <r>
      <rPr>
        <sz val="18"/>
        <rFont val="宋体"/>
        <charset val="134"/>
      </rPr>
      <t>：提取5%进行预分配，分配总金额为90*43.92*0.05=</t>
    </r>
    <r>
      <rPr>
        <b/>
        <sz val="18"/>
        <rFont val="宋体"/>
        <charset val="134"/>
      </rPr>
      <t>197.64万元</t>
    </r>
    <r>
      <rPr>
        <sz val="18"/>
        <rFont val="宋体"/>
        <charset val="134"/>
      </rPr>
      <t>，按常住人口人均4.5元计算预分配，年底考核后结算。</t>
    </r>
  </si>
  <si>
    <t>制表人：</t>
  </si>
  <si>
    <t>审核人：</t>
  </si>
  <si>
    <t>分管领导：</t>
  </si>
  <si>
    <t>乡镇卫生院项目绩点制标准</t>
  </si>
  <si>
    <r>
      <rPr>
        <sz val="11"/>
        <rFont val="SimSun"/>
        <charset val="134"/>
      </rPr>
      <t>一级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项目</t>
    </r>
  </si>
  <si>
    <r>
      <rPr>
        <sz val="11"/>
        <rFont val="SimSun"/>
        <charset val="134"/>
      </rPr>
      <t>二级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项目</t>
    </r>
  </si>
  <si>
    <r>
      <rPr>
        <sz val="11"/>
        <rFont val="SimSun"/>
        <charset val="134"/>
      </rPr>
      <t>单位</t>
    </r>
  </si>
  <si>
    <r>
      <rPr>
        <sz val="11"/>
        <rFont val="SimSun"/>
        <charset val="134"/>
      </rPr>
      <t>封顶值</t>
    </r>
  </si>
  <si>
    <r>
      <rPr>
        <sz val="11"/>
        <rFont val="SimSun"/>
        <charset val="134"/>
      </rPr>
      <t>绩点参考标准</t>
    </r>
  </si>
  <si>
    <r>
      <rPr>
        <sz val="11"/>
        <rFont val="SimSun"/>
        <charset val="134"/>
      </rPr>
      <t>计算</t>
    </r>
    <r>
      <rPr>
        <sz val="11"/>
        <rFont val="Times New Roman"/>
        <charset val="134"/>
      </rPr>
      <t xml:space="preserve">
</t>
    </r>
    <r>
      <rPr>
        <sz val="11"/>
        <rFont val="SimSun"/>
        <charset val="134"/>
      </rPr>
      <t>次数</t>
    </r>
  </si>
  <si>
    <r>
      <rPr>
        <sz val="11"/>
        <color rgb="FF000000"/>
        <rFont val="宋体"/>
        <charset val="204"/>
      </rPr>
      <t>绩点小计（点）</t>
    </r>
  </si>
  <si>
    <r>
      <rPr>
        <sz val="11"/>
        <color rgb="FF000000"/>
        <rFont val="宋体"/>
        <charset val="204"/>
      </rPr>
      <t>绩点合计（点）</t>
    </r>
  </si>
  <si>
    <r>
      <rPr>
        <sz val="11"/>
        <rFont val="Times New Roman"/>
        <charset val="134"/>
      </rPr>
      <t>3.1</t>
    </r>
    <r>
      <rPr>
        <sz val="11"/>
        <rFont val="宋体"/>
        <charset val="134"/>
      </rPr>
      <t>居民健康档案管理服务</t>
    </r>
  </si>
  <si>
    <r>
      <rPr>
        <sz val="11"/>
        <rFont val="SimSun"/>
        <charset val="134"/>
      </rPr>
      <t>新建居民电子健康档案</t>
    </r>
  </si>
  <si>
    <r>
      <rPr>
        <sz val="11"/>
        <rFont val="SimSun"/>
        <charset val="134"/>
      </rPr>
      <t>每份</t>
    </r>
  </si>
  <si>
    <t>-</t>
  </si>
  <si>
    <r>
      <rPr>
        <sz val="11"/>
        <rFont val="SimSun"/>
        <charset val="134"/>
      </rPr>
      <t>居民电子健康档案向个人开放</t>
    </r>
  </si>
  <si>
    <r>
      <rPr>
        <sz val="11"/>
        <rFont val="SimSun"/>
        <charset val="134"/>
      </rPr>
      <t>居民电子健康档案质量核查</t>
    </r>
  </si>
  <si>
    <r>
      <rPr>
        <sz val="11"/>
        <rFont val="Times New Roman"/>
        <charset val="134"/>
      </rPr>
      <t>3.2</t>
    </r>
    <r>
      <rPr>
        <sz val="11"/>
        <rFont val="宋体"/>
        <charset val="134"/>
      </rPr>
      <t>预防接种一类疫苗</t>
    </r>
  </si>
  <si>
    <r>
      <rPr>
        <sz val="11"/>
        <rFont val="SimSun"/>
        <charset val="134"/>
      </rPr>
      <t>卡证管理</t>
    </r>
  </si>
  <si>
    <r>
      <rPr>
        <sz val="11"/>
        <rFont val="SimSun"/>
        <charset val="134"/>
      </rPr>
      <t>每个新建卡</t>
    </r>
  </si>
  <si>
    <r>
      <rPr>
        <sz val="11"/>
        <rFont val="SimSun"/>
        <charset val="134"/>
      </rPr>
      <t>一类疫苗接种</t>
    </r>
  </si>
  <si>
    <r>
      <rPr>
        <sz val="11"/>
        <rFont val="SimSun"/>
        <charset val="134"/>
      </rPr>
      <t>每人次</t>
    </r>
  </si>
  <si>
    <r>
      <rPr>
        <sz val="11"/>
        <color rgb="FF000000"/>
        <rFont val="Times New Roman"/>
        <charset val="204"/>
      </rPr>
      <t>3.3.1</t>
    </r>
    <r>
      <rPr>
        <sz val="11"/>
        <color rgb="FF000000"/>
        <rFont val="宋体"/>
        <charset val="204"/>
      </rPr>
      <t>新生儿健康管理服务</t>
    </r>
  </si>
  <si>
    <r>
      <rPr>
        <sz val="11"/>
        <rFont val="SimSun"/>
        <charset val="134"/>
      </rPr>
      <t>新生儿家庭访视</t>
    </r>
  </si>
  <si>
    <r>
      <rPr>
        <sz val="11"/>
        <rFont val="SimSun"/>
        <charset val="134"/>
      </rPr>
      <t>每次</t>
    </r>
  </si>
  <si>
    <r>
      <rPr>
        <sz val="11"/>
        <rFont val="SimSun"/>
        <charset val="134"/>
      </rPr>
      <t>新生儿满月健康管理</t>
    </r>
  </si>
  <si>
    <t>每次</t>
  </si>
  <si>
    <r>
      <rPr>
        <sz val="11"/>
        <color rgb="FF000000"/>
        <rFont val="Times New Roman"/>
        <charset val="204"/>
      </rPr>
      <t>3.3.2   1</t>
    </r>
    <r>
      <rPr>
        <sz val="11"/>
        <color rgb="FF000000"/>
        <rFont val="宋体"/>
        <charset val="204"/>
      </rPr>
      <t>岁以下婴幼儿健康管理服务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</si>
  <si>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岁以下婴幼儿健康管理</t>
    </r>
  </si>
  <si>
    <r>
      <rPr>
        <sz val="11"/>
        <rFont val="SimSun"/>
        <charset val="134"/>
      </rPr>
      <t>每人</t>
    </r>
  </si>
  <si>
    <r>
      <rPr>
        <sz val="11"/>
        <rFont val="SimSun"/>
        <charset val="134"/>
      </rPr>
      <t>每人累计不超过</t>
    </r>
    <r>
      <rPr>
        <sz val="11"/>
        <rFont val="Times New Roman"/>
        <charset val="134"/>
      </rPr>
      <t xml:space="preserve"> 8 </t>
    </r>
    <r>
      <rPr>
        <sz val="11"/>
        <rFont val="SimSun"/>
        <charset val="134"/>
      </rPr>
      <t>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</si>
  <si>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岁以下组人数</t>
    </r>
    <r>
      <rPr>
        <sz val="11"/>
        <rFont val="Times New Roman"/>
        <charset val="134"/>
      </rPr>
      <t>*4</t>
    </r>
    <r>
      <rPr>
        <sz val="11"/>
        <rFont val="宋体"/>
        <charset val="134"/>
      </rPr>
      <t>次</t>
    </r>
  </si>
  <si>
    <r>
      <rPr>
        <sz val="11"/>
        <color rgb="FF000000"/>
        <rFont val="Times New Roman"/>
        <charset val="204"/>
      </rPr>
      <t>3.3.3   1-3</t>
    </r>
    <r>
      <rPr>
        <sz val="11"/>
        <color rgb="FF000000"/>
        <rFont val="宋体"/>
        <charset val="204"/>
      </rPr>
      <t>岁婴幼儿健康管理服务</t>
    </r>
  </si>
  <si>
    <r>
      <rPr>
        <sz val="11"/>
        <rFont val="Times New Roman"/>
        <charset val="134"/>
      </rPr>
      <t>1-3</t>
    </r>
    <r>
      <rPr>
        <sz val="11"/>
        <rFont val="宋体"/>
        <charset val="134"/>
      </rPr>
      <t>岁婴幼儿健康管理</t>
    </r>
  </si>
  <si>
    <r>
      <rPr>
        <sz val="11"/>
        <rFont val="Times New Roman"/>
        <charset val="134"/>
      </rPr>
      <t>1-3</t>
    </r>
    <r>
      <rPr>
        <sz val="11"/>
        <rFont val="SimSun"/>
        <charset val="134"/>
      </rPr>
      <t>岁组人数</t>
    </r>
    <r>
      <rPr>
        <sz val="11"/>
        <rFont val="Times New Roman"/>
        <charset val="134"/>
      </rPr>
      <t>*2</t>
    </r>
    <r>
      <rPr>
        <sz val="11"/>
        <rFont val="SimSun"/>
        <charset val="134"/>
      </rPr>
      <t>次</t>
    </r>
  </si>
  <si>
    <r>
      <rPr>
        <sz val="11"/>
        <color rgb="FF000000"/>
        <rFont val="Times New Roman"/>
        <charset val="204"/>
      </rPr>
      <t xml:space="preserve">3.3.4  </t>
    </r>
    <r>
      <rPr>
        <sz val="11"/>
        <color rgb="FF000000"/>
        <rFont val="宋体"/>
        <charset val="204"/>
      </rPr>
      <t>学龄前儿童健康管理</t>
    </r>
  </si>
  <si>
    <r>
      <rPr>
        <sz val="11"/>
        <rFont val="SimSun"/>
        <charset val="134"/>
      </rPr>
      <t>学龄前儿童健康管理</t>
    </r>
  </si>
  <si>
    <r>
      <rPr>
        <sz val="11"/>
        <rFont val="SimSun"/>
        <charset val="134"/>
      </rPr>
      <t>每人每年度不超过</t>
    </r>
    <r>
      <rPr>
        <sz val="11"/>
        <rFont val="Times New Roman"/>
        <charset val="134"/>
      </rPr>
      <t xml:space="preserve"> 1</t>
    </r>
    <r>
      <rPr>
        <sz val="11"/>
        <rFont val="SimSun"/>
        <charset val="134"/>
      </rPr>
      <t>次</t>
    </r>
  </si>
  <si>
    <r>
      <rPr>
        <sz val="11"/>
        <rFont val="Times New Roman"/>
        <charset val="134"/>
      </rPr>
      <t>3.4.1</t>
    </r>
    <r>
      <rPr>
        <sz val="11"/>
        <rFont val="SimSun"/>
        <charset val="134"/>
      </rPr>
      <t>孕产妇健康管理服务</t>
    </r>
  </si>
  <si>
    <r>
      <rPr>
        <sz val="11"/>
        <rFont val="SimSun"/>
        <charset val="134"/>
      </rPr>
      <t>孕早期健康管理</t>
    </r>
  </si>
  <si>
    <r>
      <rPr>
        <sz val="11"/>
        <rFont val="SimSun"/>
        <charset val="134"/>
      </rPr>
      <t>孕中期健康管理</t>
    </r>
  </si>
  <si>
    <r>
      <rPr>
        <sz val="11"/>
        <rFont val="SimSun"/>
        <charset val="134"/>
      </rPr>
      <t>每人累计不超过</t>
    </r>
    <r>
      <rPr>
        <sz val="11"/>
        <rFont val="Times New Roman"/>
        <charset val="134"/>
      </rPr>
      <t xml:space="preserve"> 2 </t>
    </r>
    <r>
      <rPr>
        <sz val="11"/>
        <rFont val="SimSun"/>
        <charset val="134"/>
      </rPr>
      <t>次</t>
    </r>
  </si>
  <si>
    <r>
      <rPr>
        <sz val="11"/>
        <rFont val="SimSun"/>
        <charset val="134"/>
      </rPr>
      <t>孕晚期健康管理</t>
    </r>
  </si>
  <si>
    <r>
      <rPr>
        <sz val="11"/>
        <color rgb="FF000000"/>
        <rFont val="Times New Roman"/>
        <charset val="204"/>
      </rPr>
      <t>3.4.2</t>
    </r>
    <r>
      <rPr>
        <sz val="11"/>
        <color rgb="FF000000"/>
        <rFont val="宋体"/>
        <charset val="204"/>
      </rPr>
      <t>产后管理绩点</t>
    </r>
  </si>
  <si>
    <r>
      <rPr>
        <sz val="11"/>
        <rFont val="宋体"/>
        <charset val="134"/>
      </rPr>
      <t>产后访视</t>
    </r>
  </si>
  <si>
    <r>
      <rPr>
        <sz val="11"/>
        <rFont val="SimSun"/>
        <charset val="134"/>
      </rPr>
      <t>产后</t>
    </r>
    <r>
      <rPr>
        <sz val="11"/>
        <rFont val="Times New Roman"/>
        <charset val="134"/>
      </rPr>
      <t xml:space="preserve">42 </t>
    </r>
    <r>
      <rPr>
        <sz val="11"/>
        <rFont val="SimSun"/>
        <charset val="134"/>
      </rPr>
      <t>天健康检查</t>
    </r>
  </si>
  <si>
    <r>
      <rPr>
        <sz val="11"/>
        <rFont val="Times New Roman"/>
        <charset val="134"/>
      </rPr>
      <t>3.5</t>
    </r>
    <r>
      <rPr>
        <sz val="11"/>
        <rFont val="宋体"/>
        <charset val="134"/>
      </rPr>
      <t>老年人</t>
    </r>
    <r>
      <rPr>
        <sz val="11"/>
        <rFont val="SimSun"/>
        <charset val="134"/>
      </rPr>
      <t>健康管理服务</t>
    </r>
  </si>
  <si>
    <r>
      <rPr>
        <sz val="11"/>
        <rFont val="SimSun"/>
        <charset val="134"/>
      </rPr>
      <t>老年人健康体检组织</t>
    </r>
  </si>
  <si>
    <r>
      <rPr>
        <sz val="11"/>
        <rFont val="SimSun"/>
        <charset val="134"/>
      </rPr>
      <t>老年人健康体检</t>
    </r>
  </si>
  <si>
    <r>
      <rPr>
        <sz val="11"/>
        <rFont val="宋体"/>
        <charset val="134"/>
      </rPr>
      <t>体检报告录入</t>
    </r>
  </si>
  <si>
    <r>
      <rPr>
        <sz val="11"/>
        <rFont val="宋体"/>
        <charset val="134"/>
      </rPr>
      <t>体检报告摘要打印</t>
    </r>
  </si>
  <si>
    <r>
      <rPr>
        <sz val="11"/>
        <rFont val="SimSun"/>
        <charset val="134"/>
      </rPr>
      <t>体检报告送达并指导</t>
    </r>
  </si>
  <si>
    <r>
      <rPr>
        <sz val="11"/>
        <rFont val="Times New Roman"/>
        <charset val="134"/>
      </rPr>
      <t>3.6.1</t>
    </r>
    <r>
      <rPr>
        <sz val="11"/>
        <rFont val="宋体"/>
        <charset val="134"/>
      </rPr>
      <t>高血压患者诊断</t>
    </r>
  </si>
  <si>
    <r>
      <rPr>
        <sz val="11"/>
        <rFont val="SimSun"/>
        <charset val="134"/>
      </rPr>
      <t>筛查</t>
    </r>
  </si>
  <si>
    <r>
      <rPr>
        <sz val="11"/>
        <rFont val="SimSun"/>
        <charset val="134"/>
      </rPr>
      <t>明确诊断</t>
    </r>
  </si>
  <si>
    <r>
      <rPr>
        <sz val="11"/>
        <rFont val="宋体"/>
        <charset val="134"/>
      </rPr>
      <t>每人每年度不超过</t>
    </r>
    <r>
      <rPr>
        <sz val="11"/>
        <rFont val="Times New Roman"/>
        <charset val="134"/>
      </rPr>
      <t xml:space="preserve"> 1</t>
    </r>
    <r>
      <rPr>
        <sz val="11"/>
        <rFont val="宋体"/>
        <charset val="134"/>
      </rPr>
      <t>次</t>
    </r>
  </si>
  <si>
    <r>
      <rPr>
        <sz val="11"/>
        <color rgb="FF000000"/>
        <rFont val="Times New Roman"/>
        <charset val="204"/>
      </rPr>
      <t>3.6.2</t>
    </r>
    <r>
      <rPr>
        <sz val="11"/>
        <color rgb="FF000000"/>
        <rFont val="宋体"/>
        <charset val="204"/>
      </rPr>
      <t>高血压患者年内购药</t>
    </r>
  </si>
  <si>
    <r>
      <rPr>
        <sz val="11"/>
        <rFont val="SimSun"/>
        <charset val="134"/>
      </rPr>
      <t>适宜处方</t>
    </r>
  </si>
  <si>
    <r>
      <rPr>
        <sz val="11"/>
        <color rgb="FFFF0000"/>
        <rFont val="SimSun"/>
        <charset val="134"/>
      </rPr>
      <t>每次</t>
    </r>
  </si>
  <si>
    <r>
      <rPr>
        <sz val="11"/>
        <rFont val="SimSun"/>
        <charset val="134"/>
      </rPr>
      <t>每人每年度不超过</t>
    </r>
    <r>
      <rPr>
        <sz val="11"/>
        <rFont val="Times New Roman"/>
        <charset val="134"/>
      </rPr>
      <t>6</t>
    </r>
    <r>
      <rPr>
        <sz val="11"/>
        <rFont val="SimSun"/>
        <charset val="134"/>
      </rPr>
      <t>次</t>
    </r>
  </si>
  <si>
    <t>系统按次数取数</t>
  </si>
  <si>
    <r>
      <rPr>
        <sz val="11"/>
        <rFont val="SimSun"/>
        <charset val="134"/>
      </rPr>
      <t>基本药物</t>
    </r>
  </si>
  <si>
    <r>
      <rPr>
        <sz val="11"/>
        <color rgb="FF000000"/>
        <rFont val="Times New Roman"/>
        <charset val="204"/>
      </rPr>
      <t>3.6.3</t>
    </r>
    <r>
      <rPr>
        <sz val="11"/>
        <color rgb="FF000000"/>
        <rFont val="宋体"/>
        <charset val="204"/>
      </rPr>
      <t>高血压患者年内随访</t>
    </r>
  </si>
  <si>
    <r>
      <rPr>
        <sz val="11"/>
        <color rgb="FF000000"/>
        <rFont val="宋体"/>
        <charset val="204"/>
      </rPr>
      <t>健康咨询和跟踪服务</t>
    </r>
  </si>
  <si>
    <r>
      <rPr>
        <sz val="11"/>
        <color rgb="FFFF0000"/>
        <rFont val="宋体"/>
        <charset val="204"/>
      </rPr>
      <t>每次</t>
    </r>
  </si>
  <si>
    <r>
      <rPr>
        <sz val="11"/>
        <color rgb="FF000000"/>
        <rFont val="宋体"/>
        <charset val="204"/>
      </rPr>
      <t>每人每年度不超过</t>
    </r>
    <r>
      <rPr>
        <sz val="11"/>
        <color rgb="FF000000"/>
        <rFont val="Times New Roman"/>
        <charset val="204"/>
      </rPr>
      <t>4</t>
    </r>
    <r>
      <rPr>
        <sz val="11"/>
        <color rgb="FF000000"/>
        <rFont val="宋体"/>
        <charset val="204"/>
      </rPr>
      <t>次</t>
    </r>
  </si>
  <si>
    <r>
      <rPr>
        <sz val="11"/>
        <color rgb="FF000000"/>
        <rFont val="Times New Roman"/>
        <charset val="204"/>
      </rPr>
      <t>3.6.4</t>
    </r>
    <r>
      <rPr>
        <sz val="11"/>
        <color rgb="FF000000"/>
        <rFont val="宋体"/>
        <charset val="204"/>
      </rPr>
      <t>高血压患者年内转诊</t>
    </r>
  </si>
  <si>
    <r>
      <rPr>
        <sz val="11"/>
        <color rgb="FF000000"/>
        <rFont val="宋体"/>
        <charset val="204"/>
      </rPr>
      <t>急诊救治绿色通道</t>
    </r>
  </si>
  <si>
    <r>
      <rPr>
        <sz val="11"/>
        <color rgb="FF000000"/>
        <rFont val="宋体"/>
        <charset val="204"/>
      </rPr>
      <t>每人</t>
    </r>
  </si>
  <si>
    <r>
      <rPr>
        <sz val="11"/>
        <rFont val="Times New Roman"/>
        <charset val="134"/>
      </rPr>
      <t>3.7.1</t>
    </r>
    <r>
      <rPr>
        <sz val="11"/>
        <rFont val="宋体"/>
        <charset val="134"/>
      </rPr>
      <t>糖尿病患者诊断</t>
    </r>
  </si>
  <si>
    <r>
      <rPr>
        <sz val="11"/>
        <color rgb="FF000000"/>
        <rFont val="Times New Roman"/>
        <charset val="204"/>
      </rPr>
      <t>3.7.2</t>
    </r>
    <r>
      <rPr>
        <sz val="11"/>
        <color rgb="FF000000"/>
        <rFont val="宋体"/>
        <charset val="204"/>
      </rPr>
      <t>糖尿病患者年内购药</t>
    </r>
  </si>
  <si>
    <r>
      <rPr>
        <sz val="11"/>
        <color rgb="FF000000"/>
        <rFont val="Times New Roman"/>
        <charset val="204"/>
      </rPr>
      <t>3.7.3</t>
    </r>
    <r>
      <rPr>
        <sz val="11"/>
        <color rgb="FF000000"/>
        <rFont val="宋体"/>
        <charset val="204"/>
      </rPr>
      <t>糖尿病患者年内随访</t>
    </r>
  </si>
  <si>
    <r>
      <rPr>
        <sz val="11"/>
        <rFont val="SimSun"/>
        <charset val="134"/>
      </rPr>
      <t>健康咨询和跟踪服务</t>
    </r>
  </si>
  <si>
    <r>
      <rPr>
        <sz val="11"/>
        <rFont val="SimSun"/>
        <charset val="134"/>
      </rPr>
      <t>每人每年度不超过</t>
    </r>
    <r>
      <rPr>
        <sz val="11"/>
        <rFont val="Times New Roman"/>
        <charset val="134"/>
      </rPr>
      <t>4</t>
    </r>
    <r>
      <rPr>
        <sz val="11"/>
        <rFont val="SimSun"/>
        <charset val="134"/>
      </rPr>
      <t>次</t>
    </r>
  </si>
  <si>
    <r>
      <rPr>
        <sz val="11"/>
        <color rgb="FF000000"/>
        <rFont val="Times New Roman"/>
        <charset val="204"/>
      </rPr>
      <t>3.7.4</t>
    </r>
    <r>
      <rPr>
        <sz val="11"/>
        <color rgb="FF000000"/>
        <rFont val="宋体"/>
        <charset val="204"/>
      </rPr>
      <t>糖尿病患者年内转诊</t>
    </r>
  </si>
  <si>
    <r>
      <rPr>
        <sz val="11"/>
        <rFont val="SimSun"/>
        <charset val="134"/>
      </rPr>
      <t>急诊救治绿色通道</t>
    </r>
  </si>
  <si>
    <r>
      <rPr>
        <sz val="11"/>
        <rFont val="Times New Roman"/>
        <charset val="134"/>
      </rPr>
      <t>3.8</t>
    </r>
    <r>
      <rPr>
        <sz val="11"/>
        <rFont val="宋体"/>
        <charset val="134"/>
      </rPr>
      <t>严重精神障碍患者管理</t>
    </r>
  </si>
  <si>
    <r>
      <rPr>
        <sz val="11"/>
        <rFont val="SimSun"/>
        <charset val="134"/>
      </rPr>
      <t>患者信息管理</t>
    </r>
  </si>
  <si>
    <r>
      <rPr>
        <sz val="11"/>
        <rFont val="SimSun"/>
        <charset val="134"/>
      </rPr>
      <t>随访评估和分类干预</t>
    </r>
  </si>
  <si>
    <r>
      <rPr>
        <sz val="11"/>
        <rFont val="SimSun"/>
        <charset val="134"/>
      </rPr>
      <t>健康体检</t>
    </r>
  </si>
  <si>
    <r>
      <rPr>
        <sz val="11"/>
        <rFont val="SimSun"/>
        <charset val="134"/>
      </rPr>
      <t>体检报告录入</t>
    </r>
  </si>
  <si>
    <r>
      <rPr>
        <sz val="11"/>
        <rFont val="Times New Roman"/>
        <charset val="134"/>
      </rPr>
      <t>3.9</t>
    </r>
    <r>
      <rPr>
        <sz val="11"/>
        <rFont val="宋体"/>
        <charset val="134"/>
      </rPr>
      <t>肺结核</t>
    </r>
  </si>
  <si>
    <r>
      <rPr>
        <sz val="11"/>
        <rFont val="SimSun"/>
        <charset val="134"/>
      </rPr>
      <t>筛查及推介转诊</t>
    </r>
  </si>
  <si>
    <r>
      <rPr>
        <sz val="11"/>
        <rFont val="SimSun"/>
        <charset val="134"/>
      </rPr>
      <t>第一次入户随访</t>
    </r>
  </si>
  <si>
    <r>
      <rPr>
        <sz val="11"/>
        <rFont val="SimSun"/>
        <charset val="134"/>
      </rPr>
      <t>督导服药和随访管理</t>
    </r>
  </si>
  <si>
    <r>
      <rPr>
        <sz val="11"/>
        <rFont val="SimSun"/>
        <charset val="134"/>
      </rPr>
      <t>老年人、糖尿病患者肺结核可疑症状筛查</t>
    </r>
  </si>
  <si>
    <r>
      <rPr>
        <sz val="11"/>
        <rFont val="SimSun"/>
        <charset val="134"/>
      </rPr>
      <t>病原学阳性肺结核患者密切接触者筛查</t>
    </r>
  </si>
  <si>
    <r>
      <rPr>
        <sz val="11"/>
        <rFont val="Times New Roman"/>
        <charset val="134"/>
      </rPr>
      <t>3.10</t>
    </r>
    <r>
      <rPr>
        <sz val="11"/>
        <rFont val="宋体"/>
        <charset val="134"/>
      </rPr>
      <t>慢阻肺管理</t>
    </r>
  </si>
  <si>
    <r>
      <rPr>
        <sz val="11"/>
        <rFont val="SimSun"/>
        <charset val="134"/>
      </rPr>
      <t>回访</t>
    </r>
  </si>
  <si>
    <r>
      <rPr>
        <sz val="11"/>
        <rFont val="Times New Roman"/>
        <charset val="134"/>
      </rPr>
      <t>3.11</t>
    </r>
    <r>
      <rPr>
        <sz val="11"/>
        <rFont val="宋体"/>
        <charset val="134"/>
      </rPr>
      <t>老年人中医管理服务</t>
    </r>
  </si>
  <si>
    <r>
      <rPr>
        <sz val="11"/>
        <rFont val="SimSun"/>
        <charset val="134"/>
      </rPr>
      <t>老年人接受中医药管理服务组织</t>
    </r>
  </si>
  <si>
    <r>
      <rPr>
        <sz val="11"/>
        <rFont val="SimSun"/>
        <charset val="134"/>
      </rPr>
      <t>老年人中医药管理服务</t>
    </r>
  </si>
  <si>
    <r>
      <rPr>
        <sz val="11"/>
        <color rgb="FF000000"/>
        <rFont val="Times New Roman"/>
        <charset val="204"/>
      </rPr>
      <t>3.12</t>
    </r>
    <r>
      <rPr>
        <sz val="11"/>
        <color rgb="FF000000"/>
        <rFont val="宋体"/>
        <charset val="204"/>
      </rPr>
      <t>儿童中医药管理服务</t>
    </r>
  </si>
  <si>
    <r>
      <rPr>
        <sz val="11"/>
        <rFont val="Times New Roman"/>
        <charset val="134"/>
      </rPr>
      <t xml:space="preserve">0-36 </t>
    </r>
    <r>
      <rPr>
        <sz val="11"/>
        <rFont val="SimSun"/>
        <charset val="134"/>
      </rPr>
      <t>个月儿童中医药健康管理服务组织</t>
    </r>
  </si>
  <si>
    <r>
      <rPr>
        <sz val="11"/>
        <rFont val="Times New Roman"/>
        <charset val="134"/>
      </rPr>
      <t xml:space="preserve">0-36 </t>
    </r>
    <r>
      <rPr>
        <sz val="11"/>
        <rFont val="SimSun"/>
        <charset val="134"/>
      </rPr>
      <t>个月儿童中医药健康管理</t>
    </r>
  </si>
  <si>
    <t>说明：系统可以取次数的，按次数计算绩点，系统不能取次数的，按项目封顶值计算绩点标准。</t>
  </si>
  <si>
    <r>
      <rPr>
        <sz val="11"/>
        <color theme="1"/>
        <rFont val="Times New Roman"/>
        <charset val="134"/>
      </rPr>
      <t>3.2</t>
    </r>
    <r>
      <rPr>
        <sz val="11"/>
        <color theme="1"/>
        <rFont val="宋体"/>
        <charset val="134"/>
      </rPr>
      <t>居民健康档案管理服务绩点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</si>
  <si>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年度健康档案对外开放统计表</t>
    </r>
  </si>
  <si>
    <r>
      <rPr>
        <sz val="11"/>
        <color theme="1"/>
        <rFont val="宋体"/>
        <charset val="134"/>
      </rPr>
      <t>健康档案认领数</t>
    </r>
  </si>
  <si>
    <r>
      <rPr>
        <sz val="11"/>
        <color theme="1"/>
        <rFont val="Times New Roman"/>
        <charset val="134"/>
      </rPr>
      <t>3.3.1</t>
    </r>
    <r>
      <rPr>
        <sz val="11"/>
        <color theme="1"/>
        <rFont val="宋体"/>
        <charset val="134"/>
      </rPr>
      <t>新生儿健康管理服务</t>
    </r>
  </si>
  <si>
    <t>湖南省基本公共卫生服务项目工作月报表（三）</t>
  </si>
  <si>
    <t>新生儿访视数</t>
  </si>
  <si>
    <t>3.3.2   1岁以下婴幼儿健康管理服务</t>
  </si>
  <si>
    <t>儿童保健管理</t>
  </si>
  <si>
    <t>3.3.3   1-3岁婴幼儿健康管理服务</t>
  </si>
  <si>
    <t>3.3.4  学龄前儿童健康管理</t>
  </si>
  <si>
    <r>
      <rPr>
        <sz val="11"/>
        <color theme="1"/>
        <rFont val="Times New Roman"/>
        <charset val="134"/>
      </rPr>
      <t xml:space="preserve">3.5.1  </t>
    </r>
    <r>
      <rPr>
        <sz val="11"/>
        <color theme="1"/>
        <rFont val="宋体"/>
        <charset val="134"/>
      </rPr>
      <t>孕产妇健康管理绩点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</si>
  <si>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年度公卫工作任务指标统计汇总表</t>
    </r>
  </si>
  <si>
    <t>孕产妇管理人数</t>
  </si>
  <si>
    <r>
      <rPr>
        <sz val="11"/>
        <color theme="1"/>
        <rFont val="Times New Roman"/>
        <charset val="134"/>
      </rPr>
      <t xml:space="preserve">3.5.2  </t>
    </r>
    <r>
      <rPr>
        <sz val="11"/>
        <color theme="1"/>
        <rFont val="宋体"/>
        <charset val="134"/>
      </rPr>
      <t>产后管理绩点</t>
    </r>
  </si>
  <si>
    <t>产后访视人数</t>
  </si>
  <si>
    <t>3.6老年人绩点</t>
  </si>
  <si>
    <t>健康管理（体检）数</t>
  </si>
  <si>
    <t>3.7.1高血压患者诊断绩点</t>
  </si>
  <si>
    <t>2025年重点人群健康管理情况</t>
  </si>
  <si>
    <t>实际规范管理数</t>
  </si>
  <si>
    <t>四个季度平均数</t>
  </si>
  <si>
    <t>3.7.2高血压患者年内购药绩点</t>
  </si>
  <si>
    <t>2025年湖南省高血压糖尿病就诊购药统计表</t>
  </si>
  <si>
    <t>年内就诊购药次数</t>
  </si>
  <si>
    <t>3.7.3高血压患者年内随访绩点</t>
  </si>
  <si>
    <t>重点人群服务情况统计表</t>
  </si>
  <si>
    <t>高血压随访次数</t>
  </si>
  <si>
    <t>3.7.4高血压患者年内转诊绩点</t>
  </si>
  <si>
    <t>其他医疗机构就诊人数</t>
  </si>
  <si>
    <t>3.8严重精神障碍患者管理绩点</t>
  </si>
  <si>
    <t>2025年度公卫工作任务指标统计汇总表</t>
  </si>
  <si>
    <t>有效管理数</t>
  </si>
  <si>
    <t>3.9肺结核绩点</t>
  </si>
  <si>
    <r>
      <rPr>
        <sz val="11"/>
        <color theme="1"/>
        <rFont val="Times New Roman"/>
        <charset val="134"/>
      </rPr>
      <t>3.11</t>
    </r>
    <r>
      <rPr>
        <sz val="11"/>
        <color theme="1"/>
        <rFont val="宋体"/>
        <charset val="134"/>
      </rPr>
      <t>老年人中医管理服务绩点</t>
    </r>
  </si>
  <si>
    <t>老年人中医指导次数</t>
  </si>
  <si>
    <r>
      <rPr>
        <sz val="11"/>
        <color theme="1"/>
        <rFont val="Times New Roman"/>
        <charset val="134"/>
      </rPr>
      <t>3.12</t>
    </r>
    <r>
      <rPr>
        <sz val="11"/>
        <color theme="1"/>
        <rFont val="宋体"/>
        <charset val="134"/>
      </rPr>
      <t>儿童中医药管理服务绩点</t>
    </r>
  </si>
  <si>
    <t>湖南省基本公共卫生服务项目工作月报表（四）</t>
  </si>
  <si>
    <r>
      <rPr>
        <sz val="11"/>
        <color theme="1"/>
        <rFont val="Times New Roman"/>
        <charset val="134"/>
      </rPr>
      <t>0-3</t>
    </r>
    <r>
      <rPr>
        <sz val="11"/>
        <color theme="1"/>
        <rFont val="宋体"/>
        <charset val="134"/>
      </rPr>
      <t>岁儿童中医调养人数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</si>
</sst>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5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Arial"/>
      <charset val="204"/>
    </font>
    <font>
      <sz val="11"/>
      <color rgb="FF000000"/>
      <name val="Times New Roman"/>
      <charset val="204"/>
    </font>
    <font>
      <sz val="20"/>
      <name val="FZXiaoBiaoSong-B05S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SimSun"/>
      <charset val="134"/>
    </font>
    <font>
      <sz val="11"/>
      <color rgb="FFFF0000"/>
      <name val="Times New Roman"/>
      <charset val="134"/>
    </font>
    <font>
      <sz val="11"/>
      <color rgb="FFFF0000"/>
      <name val="Times New Roman"/>
      <charset val="204"/>
    </font>
    <font>
      <sz val="11"/>
      <color rgb="FF000000"/>
      <name val="宋体"/>
      <charset val="204"/>
    </font>
    <font>
      <sz val="12"/>
      <name val="宋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color rgb="FFFF0000"/>
      <name val="宋体"/>
      <charset val="134"/>
    </font>
    <font>
      <sz val="36"/>
      <name val="方正小标宋简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16"/>
      <name val="宋体"/>
      <charset val="0"/>
    </font>
    <font>
      <sz val="16"/>
      <name val="宋体"/>
      <charset val="0"/>
    </font>
    <font>
      <sz val="16"/>
      <name val="宋体"/>
      <charset val="134"/>
    </font>
    <font>
      <sz val="18"/>
      <color rgb="FFFF0000"/>
      <name val="宋体"/>
      <charset val="134"/>
    </font>
    <font>
      <sz val="36"/>
      <color rgb="FFFF0000"/>
      <name val="方正小标宋简体"/>
      <charset val="134"/>
    </font>
    <font>
      <sz val="18"/>
      <color rgb="FFFF0000"/>
      <name val="Times New Roman"/>
      <charset val="0"/>
    </font>
    <font>
      <sz val="18"/>
      <name val="Times New Roman"/>
      <charset val="0"/>
    </font>
    <font>
      <sz val="16"/>
      <color rgb="FFFF0000"/>
      <name val="宋体"/>
      <charset val="0"/>
    </font>
    <font>
      <sz val="18"/>
      <name val="宋体"/>
      <charset val="0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8"/>
      <color rgb="FFFF0000"/>
      <name val="宋体"/>
      <charset val="134"/>
    </font>
    <font>
      <sz val="11"/>
      <color rgb="FFFF0000"/>
      <name val="宋体"/>
      <charset val="204"/>
    </font>
    <font>
      <b/>
      <sz val="16"/>
      <color rgb="FFFF0000"/>
      <name val="宋体"/>
      <charset val="0"/>
    </font>
    <font>
      <sz val="11"/>
      <color rgb="FFFF0000"/>
      <name val="SimSun"/>
      <charset val="134"/>
    </font>
    <font>
      <b/>
      <sz val="18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28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left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view="pageBreakPreview" zoomScale="60" zoomScaleNormal="100" workbookViewId="0">
      <pane xSplit="13" ySplit="5" topLeftCell="N16" activePane="bottomRight" state="frozen"/>
      <selection/>
      <selection pane="topRight"/>
      <selection pane="bottomLeft"/>
      <selection pane="bottomRight" activeCell="Z4" sqref="Z4:AA4"/>
    </sheetView>
  </sheetViews>
  <sheetFormatPr defaultColWidth="9" defaultRowHeight="14.25"/>
  <cols>
    <col min="1" max="1" width="13.7416666666667" style="21" customWidth="1"/>
    <col min="2" max="2" width="10.8333333333333" style="25" customWidth="1"/>
    <col min="3" max="3" width="7.91666666666667" style="25" hidden="1" customWidth="1"/>
    <col min="4" max="4" width="9" style="25" hidden="1" customWidth="1"/>
    <col min="5" max="5" width="13.125" style="25" customWidth="1"/>
    <col min="6" max="6" width="14.6333333333333" style="21" customWidth="1"/>
    <col min="7" max="7" width="10.3583333333333" style="26" customWidth="1"/>
    <col min="8" max="8" width="12.4916666666667" style="26" customWidth="1"/>
    <col min="9" max="9" width="11.6666666666667" style="26" customWidth="1"/>
    <col min="10" max="10" width="12.4916666666667" style="26" customWidth="1"/>
    <col min="11" max="11" width="14.8166666666667" style="27" customWidth="1"/>
    <col min="12" max="12" width="11.4583333333333" style="21" customWidth="1"/>
    <col min="13" max="13" width="16.25" style="21" customWidth="1"/>
    <col min="14" max="14" width="11.25" style="21" customWidth="1"/>
    <col min="15" max="15" width="12.2916666666667" style="21" customWidth="1"/>
    <col min="16" max="16" width="11.6666666666667" style="21" customWidth="1"/>
    <col min="17" max="17" width="13.125" style="21" customWidth="1"/>
    <col min="18" max="18" width="9.375" style="21" customWidth="1"/>
    <col min="19" max="19" width="13.75" style="21" customWidth="1"/>
    <col min="20" max="20" width="10" style="21" customWidth="1"/>
    <col min="21" max="21" width="13.75" style="21" customWidth="1"/>
    <col min="22" max="22" width="10.4166666666667" style="21" customWidth="1"/>
    <col min="23" max="23" width="13.75" style="21" customWidth="1"/>
    <col min="24" max="24" width="11.0416666666667" style="21" customWidth="1"/>
    <col min="25" max="25" width="14.4583333333333" style="21" customWidth="1"/>
    <col min="26" max="26" width="10" style="21" customWidth="1"/>
    <col min="27" max="27" width="12.8583333333333" style="21" customWidth="1"/>
    <col min="28" max="28" width="10" style="21" customWidth="1"/>
    <col min="29" max="29" width="13.7416666666667" style="21" customWidth="1"/>
    <col min="30" max="30" width="11.0416666666667" style="21" customWidth="1"/>
    <col min="31" max="31" width="13.7416666666667" style="21" customWidth="1"/>
    <col min="32" max="32" width="12.0833333333333" style="21" customWidth="1"/>
    <col min="33" max="33" width="13.2166666666667" style="21" customWidth="1"/>
    <col min="34" max="34" width="11.4583333333333" style="21" customWidth="1"/>
    <col min="35" max="35" width="13.9583333333333" style="21" customWidth="1"/>
    <col min="36" max="36" width="11.4583333333333" style="21" customWidth="1"/>
    <col min="37" max="37" width="14.5833333333333" style="21" customWidth="1"/>
    <col min="38" max="38" width="9.79166666666667" style="21" customWidth="1"/>
    <col min="39" max="42" width="11.4583333333333" style="21" customWidth="1"/>
    <col min="43" max="43" width="12.5" style="21" customWidth="1"/>
    <col min="44" max="44" width="11.4583333333333" style="21" customWidth="1"/>
    <col min="45" max="45" width="12.5" style="21" customWidth="1"/>
    <col min="46" max="46" width="10.625" style="21" customWidth="1"/>
    <col min="47" max="47" width="11.4583333333333" style="21" customWidth="1"/>
    <col min="48" max="48" width="9.79166666666667" style="21" customWidth="1"/>
    <col min="49" max="49" width="15.2083333333333" style="21" customWidth="1"/>
    <col min="50" max="50" width="8.75" style="21" customWidth="1"/>
    <col min="51" max="51" width="13.2166666666667" style="21" customWidth="1"/>
    <col min="52" max="52" width="9.58333333333333" style="21" customWidth="1"/>
    <col min="53" max="53" width="12.7083333333333" style="21" customWidth="1"/>
    <col min="54" max="54" width="10.2083333333333" style="21" customWidth="1"/>
    <col min="55" max="55" width="13.125" style="21" customWidth="1"/>
    <col min="56" max="56" width="11.6666666666667" style="21" customWidth="1"/>
    <col min="57" max="57" width="13.125" style="21" customWidth="1"/>
    <col min="58" max="58" width="12.8583333333333" style="21" customWidth="1"/>
    <col min="59" max="59" width="12.675" style="28" hidden="1" customWidth="1"/>
    <col min="60" max="60" width="14" style="21"/>
    <col min="61" max="61" width="11.6083333333333" style="21" customWidth="1"/>
    <col min="62" max="62" width="11.6666666666667" style="21" customWidth="1"/>
    <col min="63" max="63" width="11.375" style="21"/>
    <col min="64" max="64" width="12.675" style="21" customWidth="1"/>
    <col min="65" max="66" width="9.875" style="21"/>
    <col min="67" max="67" width="11.375" style="21"/>
    <col min="68" max="68" width="9.75" style="21"/>
    <col min="69" max="69" width="14.875" style="21" customWidth="1"/>
    <col min="70" max="71" width="12.625" style="21" customWidth="1"/>
    <col min="72" max="72" width="9" style="21" customWidth="1"/>
    <col min="73" max="16370" width="9" style="21"/>
  </cols>
  <sheetData>
    <row r="1" s="21" customFormat="1" ht="87" customHeight="1" spans="1:68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52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</row>
    <row r="2" s="22" customFormat="1" ht="27" customHeight="1" spans="1:59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53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65" t="s">
        <v>2</v>
      </c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65"/>
      <c r="BG2" s="66"/>
    </row>
    <row r="3" s="23" customFormat="1" ht="49" customHeight="1" spans="1:68">
      <c r="A3" s="32" t="s">
        <v>3</v>
      </c>
      <c r="B3" s="33" t="s">
        <v>4</v>
      </c>
      <c r="C3" s="33"/>
      <c r="D3" s="33"/>
      <c r="E3" s="33"/>
      <c r="F3" s="32" t="s">
        <v>5</v>
      </c>
      <c r="G3" s="32"/>
      <c r="H3" s="32"/>
      <c r="I3" s="32"/>
      <c r="J3" s="32"/>
      <c r="K3" s="32" t="s">
        <v>6</v>
      </c>
      <c r="L3" s="32"/>
      <c r="M3" s="32"/>
      <c r="N3" s="32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4" t="s">
        <v>7</v>
      </c>
      <c r="BG3" s="38" t="s">
        <v>8</v>
      </c>
      <c r="BH3" s="39" t="s">
        <v>9</v>
      </c>
      <c r="BI3" s="67" t="s">
        <v>10</v>
      </c>
      <c r="BJ3" s="67"/>
      <c r="BK3" s="67"/>
      <c r="BL3" s="67" t="s">
        <v>11</v>
      </c>
      <c r="BM3" s="67"/>
      <c r="BN3" s="67"/>
      <c r="BO3" s="67"/>
      <c r="BP3" s="74"/>
    </row>
    <row r="4" s="23" customFormat="1" ht="123" customHeight="1" spans="1:68">
      <c r="A4" s="32"/>
      <c r="B4" s="33"/>
      <c r="C4" s="33"/>
      <c r="D4" s="33"/>
      <c r="E4" s="33"/>
      <c r="F4" s="34" t="s">
        <v>12</v>
      </c>
      <c r="G4" s="35" t="s">
        <v>13</v>
      </c>
      <c r="H4" s="35"/>
      <c r="I4" s="35" t="s">
        <v>14</v>
      </c>
      <c r="J4" s="35"/>
      <c r="K4" s="33" t="s">
        <v>15</v>
      </c>
      <c r="L4" s="55"/>
      <c r="M4" s="34"/>
      <c r="N4" s="35" t="s">
        <v>16</v>
      </c>
      <c r="O4" s="35"/>
      <c r="P4" s="35" t="s">
        <v>17</v>
      </c>
      <c r="Q4" s="35"/>
      <c r="R4" s="35" t="s">
        <v>18</v>
      </c>
      <c r="S4" s="35"/>
      <c r="T4" s="35" t="s">
        <v>19</v>
      </c>
      <c r="U4" s="35"/>
      <c r="V4" s="35" t="s">
        <v>20</v>
      </c>
      <c r="W4" s="35"/>
      <c r="X4" s="35" t="s">
        <v>21</v>
      </c>
      <c r="Y4" s="35"/>
      <c r="Z4" s="35" t="s">
        <v>22</v>
      </c>
      <c r="AA4" s="35"/>
      <c r="AB4" s="35" t="s">
        <v>23</v>
      </c>
      <c r="AC4" s="35"/>
      <c r="AD4" s="63" t="s">
        <v>24</v>
      </c>
      <c r="AE4" s="63"/>
      <c r="AF4" s="56" t="s">
        <v>25</v>
      </c>
      <c r="AG4" s="56"/>
      <c r="AH4" s="56" t="s">
        <v>26</v>
      </c>
      <c r="AI4" s="56"/>
      <c r="AJ4" s="63" t="s">
        <v>27</v>
      </c>
      <c r="AK4" s="63"/>
      <c r="AL4" s="56" t="s">
        <v>28</v>
      </c>
      <c r="AM4" s="56"/>
      <c r="AN4" s="56" t="s">
        <v>29</v>
      </c>
      <c r="AO4" s="56"/>
      <c r="AP4" s="56" t="s">
        <v>30</v>
      </c>
      <c r="AQ4" s="56"/>
      <c r="AR4" s="63" t="s">
        <v>31</v>
      </c>
      <c r="AS4" s="63"/>
      <c r="AT4" s="56" t="s">
        <v>32</v>
      </c>
      <c r="AU4" s="56"/>
      <c r="AV4" s="35" t="s">
        <v>33</v>
      </c>
      <c r="AW4" s="35"/>
      <c r="AX4" s="35" t="s">
        <v>34</v>
      </c>
      <c r="AY4" s="35"/>
      <c r="AZ4" s="35" t="s">
        <v>35</v>
      </c>
      <c r="BA4" s="35"/>
      <c r="BB4" s="35" t="s">
        <v>36</v>
      </c>
      <c r="BC4" s="35"/>
      <c r="BD4" s="35" t="s">
        <v>37</v>
      </c>
      <c r="BE4" s="35"/>
      <c r="BF4" s="34"/>
      <c r="BG4" s="38"/>
      <c r="BH4" s="39"/>
      <c r="BI4" s="67" t="s">
        <v>38</v>
      </c>
      <c r="BJ4" s="67" t="s">
        <v>39</v>
      </c>
      <c r="BK4" s="67" t="s">
        <v>40</v>
      </c>
      <c r="BL4" s="67" t="s">
        <v>38</v>
      </c>
      <c r="BM4" s="67" t="s">
        <v>39</v>
      </c>
      <c r="BN4" s="67" t="s">
        <v>40</v>
      </c>
      <c r="BO4" s="67" t="s">
        <v>41</v>
      </c>
      <c r="BP4" s="75"/>
    </row>
    <row r="5" s="23" customFormat="1" ht="75" customHeight="1" spans="1:68">
      <c r="A5" s="32"/>
      <c r="B5" s="36" t="s">
        <v>42</v>
      </c>
      <c r="C5" s="37" t="s">
        <v>43</v>
      </c>
      <c r="D5" s="38" t="s">
        <v>44</v>
      </c>
      <c r="E5" s="39" t="s">
        <v>45</v>
      </c>
      <c r="F5" s="34"/>
      <c r="G5" s="40" t="s">
        <v>46</v>
      </c>
      <c r="H5" s="35" t="s">
        <v>45</v>
      </c>
      <c r="I5" s="40" t="s">
        <v>46</v>
      </c>
      <c r="J5" s="35" t="s">
        <v>45</v>
      </c>
      <c r="K5" s="56" t="s">
        <v>47</v>
      </c>
      <c r="L5" s="57" t="s">
        <v>48</v>
      </c>
      <c r="M5" s="35" t="s">
        <v>49</v>
      </c>
      <c r="N5" s="40" t="s">
        <v>50</v>
      </c>
      <c r="O5" s="35" t="s">
        <v>51</v>
      </c>
      <c r="P5" s="40" t="s">
        <v>50</v>
      </c>
      <c r="Q5" s="35" t="s">
        <v>51</v>
      </c>
      <c r="R5" s="40" t="s">
        <v>50</v>
      </c>
      <c r="S5" s="35" t="s">
        <v>51</v>
      </c>
      <c r="T5" s="40" t="s">
        <v>50</v>
      </c>
      <c r="U5" s="35" t="s">
        <v>51</v>
      </c>
      <c r="V5" s="40" t="s">
        <v>50</v>
      </c>
      <c r="W5" s="35" t="s">
        <v>51</v>
      </c>
      <c r="X5" s="40" t="s">
        <v>50</v>
      </c>
      <c r="Y5" s="35" t="s">
        <v>51</v>
      </c>
      <c r="Z5" s="40" t="s">
        <v>50</v>
      </c>
      <c r="AA5" s="35" t="s">
        <v>51</v>
      </c>
      <c r="AB5" s="40" t="s">
        <v>50</v>
      </c>
      <c r="AC5" s="35" t="s">
        <v>51</v>
      </c>
      <c r="AD5" s="40" t="s">
        <v>50</v>
      </c>
      <c r="AE5" s="35" t="s">
        <v>51</v>
      </c>
      <c r="AF5" s="40" t="s">
        <v>50</v>
      </c>
      <c r="AG5" s="35" t="s">
        <v>51</v>
      </c>
      <c r="AH5" s="40" t="s">
        <v>52</v>
      </c>
      <c r="AI5" s="35" t="s">
        <v>51</v>
      </c>
      <c r="AJ5" s="40" t="s">
        <v>52</v>
      </c>
      <c r="AK5" s="35" t="s">
        <v>51</v>
      </c>
      <c r="AL5" s="40" t="s">
        <v>50</v>
      </c>
      <c r="AM5" s="35" t="s">
        <v>51</v>
      </c>
      <c r="AN5" s="40" t="s">
        <v>50</v>
      </c>
      <c r="AO5" s="35" t="s">
        <v>51</v>
      </c>
      <c r="AP5" s="40" t="s">
        <v>52</v>
      </c>
      <c r="AQ5" s="35" t="s">
        <v>51</v>
      </c>
      <c r="AR5" s="40" t="s">
        <v>52</v>
      </c>
      <c r="AS5" s="35" t="s">
        <v>51</v>
      </c>
      <c r="AT5" s="40" t="s">
        <v>50</v>
      </c>
      <c r="AU5" s="35" t="s">
        <v>51</v>
      </c>
      <c r="AV5" s="40" t="s">
        <v>50</v>
      </c>
      <c r="AW5" s="35" t="s">
        <v>51</v>
      </c>
      <c r="AX5" s="40" t="s">
        <v>50</v>
      </c>
      <c r="AY5" s="35" t="s">
        <v>51</v>
      </c>
      <c r="AZ5" s="40" t="s">
        <v>50</v>
      </c>
      <c r="BA5" s="35" t="s">
        <v>51</v>
      </c>
      <c r="BB5" s="40" t="s">
        <v>52</v>
      </c>
      <c r="BC5" s="35" t="s">
        <v>51</v>
      </c>
      <c r="BD5" s="40" t="s">
        <v>50</v>
      </c>
      <c r="BE5" s="35" t="s">
        <v>51</v>
      </c>
      <c r="BF5" s="34"/>
      <c r="BG5" s="38"/>
      <c r="BH5" s="39"/>
      <c r="BI5" s="67"/>
      <c r="BJ5" s="67"/>
      <c r="BK5" s="67"/>
      <c r="BL5" s="67"/>
      <c r="BM5" s="67"/>
      <c r="BN5" s="67"/>
      <c r="BO5" s="67"/>
      <c r="BP5" s="75"/>
    </row>
    <row r="6" s="24" customFormat="1" ht="30" customHeight="1" spans="1:71">
      <c r="A6" s="36" t="s">
        <v>53</v>
      </c>
      <c r="B6" s="41">
        <v>82062</v>
      </c>
      <c r="C6" s="41" t="s">
        <v>54</v>
      </c>
      <c r="D6" s="42">
        <f t="shared" ref="D6:D12" si="0">90*0.2</f>
        <v>18</v>
      </c>
      <c r="E6" s="41">
        <f>(B6-36000)*D6</f>
        <v>829116</v>
      </c>
      <c r="F6" s="41">
        <f t="shared" ref="F6:F22" si="1">H6+J6</f>
        <v>2246140</v>
      </c>
      <c r="G6" s="35">
        <v>49237</v>
      </c>
      <c r="H6" s="35">
        <f t="shared" ref="H6:H22" si="2">G6*20</f>
        <v>984740</v>
      </c>
      <c r="I6" s="35">
        <v>31535</v>
      </c>
      <c r="J6" s="35">
        <f t="shared" ref="J6:J22" si="3">I6*40</f>
        <v>1261400</v>
      </c>
      <c r="K6" s="35">
        <f>O6+Q6+S6+U6+W6+Y6+AA6+AC6+AE6+AG6+AI6+AK6+AM6+AO6+AQ6+AS6+AU6+AW6+AY6+BA6+BC6+BE6</f>
        <v>11216144</v>
      </c>
      <c r="L6" s="57">
        <v>0.279353159664412</v>
      </c>
      <c r="M6" s="35">
        <f t="shared" ref="M6:M22" si="4">K6*L6</f>
        <v>3133265.26565104</v>
      </c>
      <c r="N6" s="35">
        <v>74485</v>
      </c>
      <c r="O6" s="35">
        <f>N6*18</f>
        <v>1340730</v>
      </c>
      <c r="P6" s="35">
        <v>27028</v>
      </c>
      <c r="Q6" s="35">
        <f t="shared" ref="Q6:Q22" si="5">P6*60</f>
        <v>1621680</v>
      </c>
      <c r="R6" s="35">
        <v>425</v>
      </c>
      <c r="S6" s="35">
        <f>R6*340</f>
        <v>144500</v>
      </c>
      <c r="T6" s="35">
        <v>812</v>
      </c>
      <c r="U6" s="35">
        <f>T6*280</f>
        <v>227360</v>
      </c>
      <c r="V6" s="35">
        <v>2917</v>
      </c>
      <c r="W6" s="35">
        <f>V6*140</f>
        <v>408380</v>
      </c>
      <c r="X6" s="35">
        <v>3540</v>
      </c>
      <c r="Y6" s="35">
        <f>X6*50</f>
        <v>177000</v>
      </c>
      <c r="Z6" s="35">
        <v>891</v>
      </c>
      <c r="AA6" s="35">
        <f>Z6*860</f>
        <v>766260</v>
      </c>
      <c r="AB6" s="35">
        <v>396</v>
      </c>
      <c r="AC6" s="35">
        <f>AB6*260</f>
        <v>102960</v>
      </c>
      <c r="AD6" s="35">
        <v>9288</v>
      </c>
      <c r="AE6" s="64">
        <f>AD6*(282/2)</f>
        <v>1309608</v>
      </c>
      <c r="AF6" s="35">
        <v>6372</v>
      </c>
      <c r="AG6" s="35">
        <f>AF6*40</f>
        <v>254880</v>
      </c>
      <c r="AH6" s="35">
        <f>AF6*6</f>
        <v>38232</v>
      </c>
      <c r="AI6" s="35">
        <f>AH6*35</f>
        <v>1338120</v>
      </c>
      <c r="AJ6" s="35">
        <f>AF6*4</f>
        <v>25488</v>
      </c>
      <c r="AK6" s="64">
        <f>AJ6*(50/2)</f>
        <v>637200</v>
      </c>
      <c r="AL6" s="35">
        <v>1415</v>
      </c>
      <c r="AM6" s="35">
        <f>AL6*20</f>
        <v>28300</v>
      </c>
      <c r="AN6" s="35">
        <v>2662</v>
      </c>
      <c r="AO6" s="35">
        <f>AN6*40</f>
        <v>106480</v>
      </c>
      <c r="AP6" s="35">
        <f t="shared" ref="AP6:AP22" si="6">AN6*6</f>
        <v>15972</v>
      </c>
      <c r="AQ6" s="35">
        <f>AP6*35</f>
        <v>559020</v>
      </c>
      <c r="AR6" s="35">
        <f t="shared" ref="AR6:AR22" si="7">AN6*4</f>
        <v>10648</v>
      </c>
      <c r="AS6" s="64">
        <f>AR6*(50/2)</f>
        <v>266200</v>
      </c>
      <c r="AT6" s="35">
        <v>826</v>
      </c>
      <c r="AU6" s="35">
        <f>AT6*20</f>
        <v>16520</v>
      </c>
      <c r="AV6" s="35">
        <v>575</v>
      </c>
      <c r="AW6" s="35">
        <f>AV6*1430</f>
        <v>822250</v>
      </c>
      <c r="AX6" s="35">
        <v>29</v>
      </c>
      <c r="AY6" s="35">
        <f>AX6*2184</f>
        <v>63336</v>
      </c>
      <c r="AZ6" s="35">
        <v>362</v>
      </c>
      <c r="BA6" s="35">
        <f>AZ6*490</f>
        <v>177380</v>
      </c>
      <c r="BB6" s="35">
        <v>9909</v>
      </c>
      <c r="BC6" s="35">
        <f>BB6*20</f>
        <v>198180</v>
      </c>
      <c r="BD6" s="35">
        <v>5415</v>
      </c>
      <c r="BE6" s="35">
        <f>BD6*120</f>
        <v>649800</v>
      </c>
      <c r="BF6" s="35">
        <f t="shared" ref="BF6:BF22" si="8">B6*4.5</f>
        <v>369279</v>
      </c>
      <c r="BG6" s="68">
        <f t="shared" ref="BG6:BG22" si="9">(E6+F6+M6+BF6)/10000</f>
        <v>657.780026565104</v>
      </c>
      <c r="BH6" s="69">
        <v>657.77</v>
      </c>
      <c r="BI6" s="42">
        <v>578.48</v>
      </c>
      <c r="BJ6" s="70">
        <v>516.26</v>
      </c>
      <c r="BK6" s="71">
        <v>62.22</v>
      </c>
      <c r="BL6" s="69">
        <f>BH6-BI6</f>
        <v>79.29</v>
      </c>
      <c r="BM6" s="68">
        <v>27.98</v>
      </c>
      <c r="BN6" s="68">
        <v>33.22</v>
      </c>
      <c r="BO6" s="68">
        <f t="shared" ref="BO6:BO22" si="10">BL6-BN6-BM6</f>
        <v>18.09</v>
      </c>
      <c r="BP6" s="76">
        <f>BH6*10000/B6</f>
        <v>80.1552484706685</v>
      </c>
      <c r="BQ6" s="77">
        <f t="shared" ref="BQ6:BQ23" si="11">(BJ6+BM6)/BH6</f>
        <v>0.827401675357648</v>
      </c>
      <c r="BR6" s="77">
        <f t="shared" ref="BR6:BR23" si="12">(BK6+BN6)/BH6</f>
        <v>0.145096310260425</v>
      </c>
      <c r="BS6" s="77">
        <f t="shared" ref="BS6:BS23" si="13">BO6/BH6</f>
        <v>0.0275020143819268</v>
      </c>
    </row>
    <row r="7" s="24" customFormat="1" ht="30" customHeight="1" spans="1:71">
      <c r="A7" s="36" t="s">
        <v>55</v>
      </c>
      <c r="B7" s="41">
        <v>28532</v>
      </c>
      <c r="C7" s="41" t="s">
        <v>54</v>
      </c>
      <c r="D7" s="42">
        <f t="shared" si="0"/>
        <v>18</v>
      </c>
      <c r="E7" s="41">
        <f t="shared" ref="E7:E22" si="14">B7*D7</f>
        <v>513576</v>
      </c>
      <c r="F7" s="41">
        <f t="shared" si="1"/>
        <v>704980</v>
      </c>
      <c r="G7" s="35">
        <v>17119</v>
      </c>
      <c r="H7" s="35">
        <f t="shared" si="2"/>
        <v>342380</v>
      </c>
      <c r="I7" s="35">
        <v>9065</v>
      </c>
      <c r="J7" s="35">
        <f t="shared" si="3"/>
        <v>362600</v>
      </c>
      <c r="K7" s="35">
        <f t="shared" ref="K7:K22" si="15">O7+Q7+S7+U7+W7+Y7+AA7+AC7+AE7+AG7+AI7+AK7+AM7+AO7+AQ7+AS7+AU7+AW7+AY7+BA7+BC7+BE7</f>
        <v>3923152</v>
      </c>
      <c r="L7" s="57">
        <v>0.279353159664412</v>
      </c>
      <c r="M7" s="35">
        <f t="shared" si="4"/>
        <v>1095944.90704376</v>
      </c>
      <c r="N7" s="35">
        <v>26829</v>
      </c>
      <c r="O7" s="35">
        <f t="shared" ref="O6:O22" si="16">N7*18</f>
        <v>482922</v>
      </c>
      <c r="P7" s="35">
        <v>3803</v>
      </c>
      <c r="Q7" s="35">
        <f t="shared" si="5"/>
        <v>228180</v>
      </c>
      <c r="R7" s="35">
        <v>83</v>
      </c>
      <c r="S7" s="35">
        <f t="shared" ref="S7:S22" si="17">R7*340</f>
        <v>28220</v>
      </c>
      <c r="T7" s="35">
        <v>162</v>
      </c>
      <c r="U7" s="35">
        <f t="shared" ref="U7:U22" si="18">T7*280</f>
        <v>45360</v>
      </c>
      <c r="V7" s="35">
        <v>590</v>
      </c>
      <c r="W7" s="35">
        <f t="shared" ref="W7:W22" si="19">V7*140</f>
        <v>82600</v>
      </c>
      <c r="X7" s="35">
        <v>878</v>
      </c>
      <c r="Y7" s="35">
        <f t="shared" ref="Y7:Y22" si="20">X7*50</f>
        <v>43900</v>
      </c>
      <c r="Z7" s="35">
        <v>185</v>
      </c>
      <c r="AA7" s="35">
        <f t="shared" ref="AA6:AA22" si="21">Z7*860</f>
        <v>159100</v>
      </c>
      <c r="AB7" s="35">
        <v>74</v>
      </c>
      <c r="AC7" s="35">
        <f t="shared" ref="AC7:AC17" si="22">AB7*260</f>
        <v>19240</v>
      </c>
      <c r="AD7" s="35">
        <v>3121</v>
      </c>
      <c r="AE7" s="35">
        <f>AD7*282</f>
        <v>880122</v>
      </c>
      <c r="AF7" s="35">
        <v>2299</v>
      </c>
      <c r="AG7" s="35">
        <f t="shared" ref="AG6:AG22" si="23">AF7*40</f>
        <v>91960</v>
      </c>
      <c r="AH7" s="35">
        <f t="shared" ref="AH6:AH22" si="24">AF7*6</f>
        <v>13794</v>
      </c>
      <c r="AI7" s="35">
        <f t="shared" ref="AI6:AI22" si="25">AH7*35</f>
        <v>482790</v>
      </c>
      <c r="AJ7" s="35">
        <f t="shared" ref="AJ6:AJ22" si="26">AF7*4</f>
        <v>9196</v>
      </c>
      <c r="AK7" s="35">
        <f t="shared" ref="AK7:AK22" si="27">AJ7*50</f>
        <v>459800</v>
      </c>
      <c r="AL7" s="35">
        <v>311</v>
      </c>
      <c r="AM7" s="35">
        <f t="shared" ref="AM6:AM22" si="28">AL7*20</f>
        <v>6220</v>
      </c>
      <c r="AN7" s="35">
        <v>896</v>
      </c>
      <c r="AO7" s="35">
        <f t="shared" ref="AO6:AO22" si="29">AN7*40</f>
        <v>35840</v>
      </c>
      <c r="AP7" s="35">
        <f t="shared" si="6"/>
        <v>5376</v>
      </c>
      <c r="AQ7" s="35">
        <f t="shared" ref="AQ6:AQ22" si="30">AP7*35</f>
        <v>188160</v>
      </c>
      <c r="AR7" s="35">
        <f t="shared" si="7"/>
        <v>3584</v>
      </c>
      <c r="AS7" s="35">
        <f>AR7*50</f>
        <v>179200</v>
      </c>
      <c r="AT7" s="35">
        <v>177</v>
      </c>
      <c r="AU7" s="35">
        <f t="shared" ref="AU6:AU22" si="31">AT7*20</f>
        <v>3540</v>
      </c>
      <c r="AV7" s="35">
        <v>172</v>
      </c>
      <c r="AW7" s="35">
        <f>AV7*1430</f>
        <v>245960</v>
      </c>
      <c r="AX7" s="35">
        <v>2</v>
      </c>
      <c r="AY7" s="35">
        <f t="shared" ref="AY7:AY22" si="32">AX7*2184</f>
        <v>4368</v>
      </c>
      <c r="AZ7" s="35">
        <v>111</v>
      </c>
      <c r="BA7" s="35">
        <f t="shared" ref="BA7:BA22" si="33">AZ7*490</f>
        <v>54390</v>
      </c>
      <c r="BB7" s="35">
        <v>1922</v>
      </c>
      <c r="BC7" s="35">
        <f>BB7*20</f>
        <v>38440</v>
      </c>
      <c r="BD7" s="35">
        <v>1357</v>
      </c>
      <c r="BE7" s="35">
        <f>BD7*120</f>
        <v>162840</v>
      </c>
      <c r="BF7" s="35">
        <f t="shared" si="8"/>
        <v>128394</v>
      </c>
      <c r="BG7" s="68">
        <f t="shared" si="9"/>
        <v>244.289490704376</v>
      </c>
      <c r="BH7" s="69">
        <v>244.29</v>
      </c>
      <c r="BI7" s="42">
        <v>190.97</v>
      </c>
      <c r="BJ7" s="70">
        <v>183</v>
      </c>
      <c r="BK7" s="71">
        <v>7.97000000000001</v>
      </c>
      <c r="BL7" s="69">
        <f t="shared" ref="BL6:BL22" si="34">BH7-BI7</f>
        <v>53.32</v>
      </c>
      <c r="BM7" s="68">
        <v>14</v>
      </c>
      <c r="BN7" s="68">
        <v>18</v>
      </c>
      <c r="BO7" s="68">
        <f t="shared" si="10"/>
        <v>21.32</v>
      </c>
      <c r="BP7" s="76">
        <f t="shared" ref="BP7:BP23" si="35">BH7*10000/B7</f>
        <v>85.6196551240712</v>
      </c>
      <c r="BQ7" s="77">
        <f t="shared" si="11"/>
        <v>0.80641860084326</v>
      </c>
      <c r="BR7" s="77">
        <f t="shared" si="12"/>
        <v>0.106308076466495</v>
      </c>
      <c r="BS7" s="77">
        <f t="shared" si="13"/>
        <v>0.0872733226902452</v>
      </c>
    </row>
    <row r="8" s="24" customFormat="1" ht="30" customHeight="1" spans="1:71">
      <c r="A8" s="36" t="s">
        <v>56</v>
      </c>
      <c r="B8" s="41">
        <v>26756</v>
      </c>
      <c r="C8" s="41" t="s">
        <v>57</v>
      </c>
      <c r="D8" s="42">
        <f>90*0.25</f>
        <v>22.5</v>
      </c>
      <c r="E8" s="41">
        <f t="shared" si="14"/>
        <v>602010</v>
      </c>
      <c r="F8" s="41">
        <f t="shared" si="1"/>
        <v>757760</v>
      </c>
      <c r="G8" s="35">
        <v>16054</v>
      </c>
      <c r="H8" s="35">
        <f t="shared" si="2"/>
        <v>321080</v>
      </c>
      <c r="I8" s="35">
        <v>10917</v>
      </c>
      <c r="J8" s="35">
        <f t="shared" si="3"/>
        <v>436680</v>
      </c>
      <c r="K8" s="35">
        <f t="shared" si="15"/>
        <v>3642836</v>
      </c>
      <c r="L8" s="57">
        <v>0.279353159664412</v>
      </c>
      <c r="M8" s="35">
        <f t="shared" si="4"/>
        <v>1017637.74673927</v>
      </c>
      <c r="N8" s="35">
        <v>25221</v>
      </c>
      <c r="O8" s="35">
        <f t="shared" si="16"/>
        <v>453978</v>
      </c>
      <c r="P8" s="35">
        <v>3550</v>
      </c>
      <c r="Q8" s="35">
        <f t="shared" si="5"/>
        <v>213000</v>
      </c>
      <c r="R8" s="35">
        <v>73</v>
      </c>
      <c r="S8" s="35">
        <f t="shared" si="17"/>
        <v>24820</v>
      </c>
      <c r="T8" s="35">
        <v>131</v>
      </c>
      <c r="U8" s="35">
        <f t="shared" si="18"/>
        <v>36680</v>
      </c>
      <c r="V8" s="35">
        <v>529</v>
      </c>
      <c r="W8" s="35">
        <f t="shared" si="19"/>
        <v>74060</v>
      </c>
      <c r="X8" s="35">
        <v>676</v>
      </c>
      <c r="Y8" s="35">
        <f t="shared" si="20"/>
        <v>33800</v>
      </c>
      <c r="Z8" s="35">
        <v>148</v>
      </c>
      <c r="AA8" s="35">
        <f t="shared" si="21"/>
        <v>127280</v>
      </c>
      <c r="AB8" s="35">
        <v>69</v>
      </c>
      <c r="AC8" s="35">
        <f t="shared" si="22"/>
        <v>17940</v>
      </c>
      <c r="AD8" s="35">
        <v>2630</v>
      </c>
      <c r="AE8" s="35">
        <f t="shared" ref="AE8:AE22" si="36">AD8*282</f>
        <v>741660</v>
      </c>
      <c r="AF8" s="35">
        <v>2339</v>
      </c>
      <c r="AG8" s="35">
        <f t="shared" si="23"/>
        <v>93560</v>
      </c>
      <c r="AH8" s="35">
        <f t="shared" si="24"/>
        <v>14034</v>
      </c>
      <c r="AI8" s="35">
        <f t="shared" si="25"/>
        <v>491190</v>
      </c>
      <c r="AJ8" s="35">
        <f t="shared" si="26"/>
        <v>9356</v>
      </c>
      <c r="AK8" s="35">
        <f t="shared" si="27"/>
        <v>467800</v>
      </c>
      <c r="AL8" s="35">
        <v>304</v>
      </c>
      <c r="AM8" s="35">
        <f t="shared" si="28"/>
        <v>6080</v>
      </c>
      <c r="AN8" s="35">
        <v>818</v>
      </c>
      <c r="AO8" s="35">
        <f t="shared" si="29"/>
        <v>32720</v>
      </c>
      <c r="AP8" s="35">
        <f t="shared" si="6"/>
        <v>4908</v>
      </c>
      <c r="AQ8" s="35">
        <f t="shared" si="30"/>
        <v>171780</v>
      </c>
      <c r="AR8" s="35">
        <f t="shared" si="7"/>
        <v>3272</v>
      </c>
      <c r="AS8" s="35">
        <f t="shared" ref="AS7:AS22" si="37">AR8*50</f>
        <v>163600</v>
      </c>
      <c r="AT8" s="35">
        <v>156</v>
      </c>
      <c r="AU8" s="35">
        <f t="shared" si="31"/>
        <v>3120</v>
      </c>
      <c r="AV8" s="35">
        <v>189</v>
      </c>
      <c r="AW8" s="35">
        <f t="shared" ref="AW7:AW22" si="38">AV8*1430</f>
        <v>270270</v>
      </c>
      <c r="AX8" s="35">
        <v>2</v>
      </c>
      <c r="AY8" s="35">
        <f t="shared" si="32"/>
        <v>4368</v>
      </c>
      <c r="AZ8" s="35">
        <v>83</v>
      </c>
      <c r="BA8" s="35">
        <f t="shared" si="33"/>
        <v>40670</v>
      </c>
      <c r="BB8" s="35">
        <v>2039</v>
      </c>
      <c r="BC8" s="35">
        <f>BB8*20</f>
        <v>40780</v>
      </c>
      <c r="BD8" s="35">
        <v>1114</v>
      </c>
      <c r="BE8" s="35">
        <f>BD8*120</f>
        <v>133680</v>
      </c>
      <c r="BF8" s="35">
        <f t="shared" si="8"/>
        <v>120402</v>
      </c>
      <c r="BG8" s="68">
        <f t="shared" si="9"/>
        <v>249.780974673927</v>
      </c>
      <c r="BH8" s="69">
        <v>249.78</v>
      </c>
      <c r="BI8" s="42">
        <v>228.96</v>
      </c>
      <c r="BJ8" s="70">
        <v>191</v>
      </c>
      <c r="BK8" s="71">
        <v>37.96</v>
      </c>
      <c r="BL8" s="69">
        <f t="shared" si="34"/>
        <v>20.82</v>
      </c>
      <c r="BM8" s="68">
        <v>9</v>
      </c>
      <c r="BN8" s="68">
        <v>2</v>
      </c>
      <c r="BO8" s="68">
        <f t="shared" si="10"/>
        <v>9.81999999999999</v>
      </c>
      <c r="BP8" s="76">
        <f t="shared" si="35"/>
        <v>93.3547615488115</v>
      </c>
      <c r="BQ8" s="77">
        <f t="shared" si="11"/>
        <v>0.800704620065658</v>
      </c>
      <c r="BR8" s="77">
        <f t="shared" si="12"/>
        <v>0.159980783089118</v>
      </c>
      <c r="BS8" s="77">
        <f t="shared" si="13"/>
        <v>0.0393145968452238</v>
      </c>
    </row>
    <row r="9" s="24" customFormat="1" ht="30" customHeight="1" spans="1:71">
      <c r="A9" s="36" t="s">
        <v>58</v>
      </c>
      <c r="B9" s="41">
        <v>29960</v>
      </c>
      <c r="C9" s="41" t="s">
        <v>54</v>
      </c>
      <c r="D9" s="42">
        <f t="shared" si="0"/>
        <v>18</v>
      </c>
      <c r="E9" s="41">
        <f t="shared" si="14"/>
        <v>539280</v>
      </c>
      <c r="F9" s="41">
        <f t="shared" si="1"/>
        <v>806640</v>
      </c>
      <c r="G9" s="35">
        <v>17976</v>
      </c>
      <c r="H9" s="35">
        <f t="shared" si="2"/>
        <v>359520</v>
      </c>
      <c r="I9" s="35">
        <v>11178</v>
      </c>
      <c r="J9" s="35">
        <f t="shared" si="3"/>
        <v>447120</v>
      </c>
      <c r="K9" s="35">
        <f t="shared" si="15"/>
        <v>4139414</v>
      </c>
      <c r="L9" s="57">
        <v>0.279353159664412</v>
      </c>
      <c r="M9" s="35">
        <f t="shared" si="4"/>
        <v>1156358.3800591</v>
      </c>
      <c r="N9" s="35">
        <v>28855</v>
      </c>
      <c r="O9" s="35">
        <f t="shared" si="16"/>
        <v>519390</v>
      </c>
      <c r="P9" s="35">
        <v>4132</v>
      </c>
      <c r="Q9" s="35">
        <f t="shared" si="5"/>
        <v>247920</v>
      </c>
      <c r="R9" s="35">
        <v>85</v>
      </c>
      <c r="S9" s="35">
        <f t="shared" si="17"/>
        <v>28900</v>
      </c>
      <c r="T9" s="35">
        <v>143</v>
      </c>
      <c r="U9" s="35">
        <f t="shared" si="18"/>
        <v>40040</v>
      </c>
      <c r="V9" s="35">
        <v>613</v>
      </c>
      <c r="W9" s="35">
        <f t="shared" si="19"/>
        <v>85820</v>
      </c>
      <c r="X9" s="35">
        <v>1008</v>
      </c>
      <c r="Y9" s="35">
        <f t="shared" si="20"/>
        <v>50400</v>
      </c>
      <c r="Z9" s="35">
        <v>158</v>
      </c>
      <c r="AA9" s="35">
        <f t="shared" si="21"/>
        <v>135880</v>
      </c>
      <c r="AB9" s="35">
        <v>81</v>
      </c>
      <c r="AC9" s="35">
        <f t="shared" si="22"/>
        <v>21060</v>
      </c>
      <c r="AD9" s="35">
        <v>3282</v>
      </c>
      <c r="AE9" s="35">
        <f t="shared" si="36"/>
        <v>925524</v>
      </c>
      <c r="AF9" s="35">
        <v>2498</v>
      </c>
      <c r="AG9" s="35">
        <f t="shared" si="23"/>
        <v>99920</v>
      </c>
      <c r="AH9" s="35">
        <f t="shared" si="24"/>
        <v>14988</v>
      </c>
      <c r="AI9" s="35">
        <f t="shared" si="25"/>
        <v>524580</v>
      </c>
      <c r="AJ9" s="35">
        <f t="shared" si="26"/>
        <v>9992</v>
      </c>
      <c r="AK9" s="35">
        <f t="shared" si="27"/>
        <v>499600</v>
      </c>
      <c r="AL9" s="35">
        <v>314</v>
      </c>
      <c r="AM9" s="35">
        <f t="shared" si="28"/>
        <v>6280</v>
      </c>
      <c r="AN9" s="35">
        <v>857</v>
      </c>
      <c r="AO9" s="35">
        <f t="shared" si="29"/>
        <v>34280</v>
      </c>
      <c r="AP9" s="35">
        <f t="shared" si="6"/>
        <v>5142</v>
      </c>
      <c r="AQ9" s="35">
        <f t="shared" si="30"/>
        <v>179970</v>
      </c>
      <c r="AR9" s="35">
        <f t="shared" si="7"/>
        <v>3428</v>
      </c>
      <c r="AS9" s="35">
        <f t="shared" si="37"/>
        <v>171400</v>
      </c>
      <c r="AT9" s="35">
        <v>155</v>
      </c>
      <c r="AU9" s="35">
        <f t="shared" si="31"/>
        <v>3100</v>
      </c>
      <c r="AV9" s="35">
        <v>196</v>
      </c>
      <c r="AW9" s="35">
        <f t="shared" si="38"/>
        <v>280280</v>
      </c>
      <c r="AX9" s="35">
        <v>5</v>
      </c>
      <c r="AY9" s="35">
        <f t="shared" si="32"/>
        <v>10920</v>
      </c>
      <c r="AZ9" s="35">
        <v>131</v>
      </c>
      <c r="BA9" s="35">
        <f t="shared" si="33"/>
        <v>64190</v>
      </c>
      <c r="BB9" s="35">
        <v>2176</v>
      </c>
      <c r="BC9" s="35">
        <f>BB9*20</f>
        <v>43520</v>
      </c>
      <c r="BD9" s="35">
        <v>1387</v>
      </c>
      <c r="BE9" s="35">
        <f t="shared" ref="BE7:BE22" si="39">BD9*120</f>
        <v>166440</v>
      </c>
      <c r="BF9" s="35">
        <f t="shared" si="8"/>
        <v>134820</v>
      </c>
      <c r="BG9" s="68">
        <f t="shared" si="9"/>
        <v>263.70983800591</v>
      </c>
      <c r="BH9" s="69">
        <v>263.71</v>
      </c>
      <c r="BI9" s="42">
        <v>233.19</v>
      </c>
      <c r="BJ9" s="70">
        <v>198</v>
      </c>
      <c r="BK9" s="71">
        <v>35.19</v>
      </c>
      <c r="BL9" s="69">
        <f t="shared" si="34"/>
        <v>30.52</v>
      </c>
      <c r="BM9" s="68">
        <v>12</v>
      </c>
      <c r="BN9" s="68">
        <v>7</v>
      </c>
      <c r="BO9" s="68">
        <f t="shared" si="10"/>
        <v>11.52</v>
      </c>
      <c r="BP9" s="76">
        <f t="shared" si="35"/>
        <v>88.020694259012</v>
      </c>
      <c r="BQ9" s="77">
        <f t="shared" si="11"/>
        <v>0.796329301126237</v>
      </c>
      <c r="BR9" s="77">
        <f t="shared" si="12"/>
        <v>0.159986348640552</v>
      </c>
      <c r="BS9" s="77">
        <f t="shared" si="13"/>
        <v>0.0436843502332107</v>
      </c>
    </row>
    <row r="10" s="24" customFormat="1" ht="30" customHeight="1" spans="1:71">
      <c r="A10" s="36" t="s">
        <v>59</v>
      </c>
      <c r="B10" s="41">
        <v>47462</v>
      </c>
      <c r="C10" s="41" t="s">
        <v>54</v>
      </c>
      <c r="D10" s="42">
        <f t="shared" si="0"/>
        <v>18</v>
      </c>
      <c r="E10" s="41">
        <f t="shared" si="14"/>
        <v>854316</v>
      </c>
      <c r="F10" s="41">
        <f t="shared" si="1"/>
        <v>1202020</v>
      </c>
      <c r="G10" s="35">
        <v>28477</v>
      </c>
      <c r="H10" s="35">
        <f t="shared" si="2"/>
        <v>569540</v>
      </c>
      <c r="I10" s="35">
        <v>15812</v>
      </c>
      <c r="J10" s="35">
        <f t="shared" si="3"/>
        <v>632480</v>
      </c>
      <c r="K10" s="35">
        <f t="shared" si="15"/>
        <v>6831362</v>
      </c>
      <c r="L10" s="57">
        <v>0.279353159664412</v>
      </c>
      <c r="M10" s="35">
        <f t="shared" si="4"/>
        <v>1908362.5595114</v>
      </c>
      <c r="N10" s="35">
        <v>47536</v>
      </c>
      <c r="O10" s="35">
        <f t="shared" si="16"/>
        <v>855648</v>
      </c>
      <c r="P10" s="35">
        <v>7900</v>
      </c>
      <c r="Q10" s="35">
        <f t="shared" si="5"/>
        <v>474000</v>
      </c>
      <c r="R10" s="35">
        <v>131</v>
      </c>
      <c r="S10" s="35">
        <f t="shared" si="17"/>
        <v>44540</v>
      </c>
      <c r="T10" s="35">
        <v>253</v>
      </c>
      <c r="U10" s="35">
        <f t="shared" si="18"/>
        <v>70840</v>
      </c>
      <c r="V10" s="35">
        <v>844</v>
      </c>
      <c r="W10" s="35">
        <f t="shared" si="19"/>
        <v>118160</v>
      </c>
      <c r="X10" s="35">
        <v>1157</v>
      </c>
      <c r="Y10" s="35">
        <f t="shared" si="20"/>
        <v>57850</v>
      </c>
      <c r="Z10" s="35">
        <v>291</v>
      </c>
      <c r="AA10" s="35">
        <f t="shared" si="21"/>
        <v>250260</v>
      </c>
      <c r="AB10" s="35">
        <v>134</v>
      </c>
      <c r="AC10" s="35">
        <f t="shared" si="22"/>
        <v>34840</v>
      </c>
      <c r="AD10" s="35">
        <v>5193</v>
      </c>
      <c r="AE10" s="35">
        <f t="shared" si="36"/>
        <v>1464426</v>
      </c>
      <c r="AF10" s="35">
        <v>4099</v>
      </c>
      <c r="AG10" s="35">
        <f t="shared" si="23"/>
        <v>163960</v>
      </c>
      <c r="AH10" s="35">
        <f t="shared" si="24"/>
        <v>24594</v>
      </c>
      <c r="AI10" s="35">
        <f t="shared" si="25"/>
        <v>860790</v>
      </c>
      <c r="AJ10" s="35">
        <f t="shared" si="26"/>
        <v>16396</v>
      </c>
      <c r="AK10" s="35">
        <f t="shared" si="27"/>
        <v>819800</v>
      </c>
      <c r="AL10" s="35">
        <v>419</v>
      </c>
      <c r="AM10" s="35">
        <f t="shared" si="28"/>
        <v>8380</v>
      </c>
      <c r="AN10" s="35">
        <v>1514</v>
      </c>
      <c r="AO10" s="35">
        <f t="shared" si="29"/>
        <v>60560</v>
      </c>
      <c r="AP10" s="35">
        <f t="shared" si="6"/>
        <v>9084</v>
      </c>
      <c r="AQ10" s="35">
        <f t="shared" si="30"/>
        <v>317940</v>
      </c>
      <c r="AR10" s="35">
        <f t="shared" si="7"/>
        <v>6056</v>
      </c>
      <c r="AS10" s="35">
        <f t="shared" si="37"/>
        <v>302800</v>
      </c>
      <c r="AT10" s="35">
        <v>222</v>
      </c>
      <c r="AU10" s="35">
        <f t="shared" si="31"/>
        <v>4440</v>
      </c>
      <c r="AV10" s="35">
        <v>312</v>
      </c>
      <c r="AW10" s="35">
        <f t="shared" si="38"/>
        <v>446160</v>
      </c>
      <c r="AX10" s="35">
        <v>12</v>
      </c>
      <c r="AY10" s="35">
        <f t="shared" si="32"/>
        <v>26208</v>
      </c>
      <c r="AZ10" s="35">
        <v>254</v>
      </c>
      <c r="BA10" s="35">
        <f t="shared" si="33"/>
        <v>124460</v>
      </c>
      <c r="BB10" s="35">
        <v>6317</v>
      </c>
      <c r="BC10" s="35">
        <f t="shared" ref="BC7:BC22" si="40">BB10*20</f>
        <v>126340</v>
      </c>
      <c r="BD10" s="35">
        <v>1658</v>
      </c>
      <c r="BE10" s="35">
        <f t="shared" si="39"/>
        <v>198960</v>
      </c>
      <c r="BF10" s="35">
        <f t="shared" si="8"/>
        <v>213579</v>
      </c>
      <c r="BG10" s="68">
        <f t="shared" si="9"/>
        <v>417.82775595114</v>
      </c>
      <c r="BH10" s="69">
        <v>417.83</v>
      </c>
      <c r="BI10" s="42">
        <v>379.85</v>
      </c>
      <c r="BJ10" s="70">
        <v>312</v>
      </c>
      <c r="BK10" s="71">
        <v>67.85</v>
      </c>
      <c r="BL10" s="69">
        <f t="shared" si="34"/>
        <v>37.98</v>
      </c>
      <c r="BM10" s="68">
        <v>20</v>
      </c>
      <c r="BN10" s="68">
        <v>0</v>
      </c>
      <c r="BO10" s="68">
        <f t="shared" si="10"/>
        <v>17.98</v>
      </c>
      <c r="BP10" s="76">
        <f t="shared" si="35"/>
        <v>88.0346382369053</v>
      </c>
      <c r="BQ10" s="77">
        <f t="shared" si="11"/>
        <v>0.794581528372783</v>
      </c>
      <c r="BR10" s="77">
        <f t="shared" si="12"/>
        <v>0.162386616566546</v>
      </c>
      <c r="BS10" s="77">
        <f t="shared" si="13"/>
        <v>0.0430318550606705</v>
      </c>
    </row>
    <row r="11" s="24" customFormat="1" ht="30" customHeight="1" spans="1:71">
      <c r="A11" s="36" t="s">
        <v>60</v>
      </c>
      <c r="B11" s="41">
        <v>31479</v>
      </c>
      <c r="C11" s="41" t="s">
        <v>54</v>
      </c>
      <c r="D11" s="42">
        <f t="shared" si="0"/>
        <v>18</v>
      </c>
      <c r="E11" s="41">
        <f t="shared" si="14"/>
        <v>566622</v>
      </c>
      <c r="F11" s="41">
        <f t="shared" si="1"/>
        <v>774940</v>
      </c>
      <c r="G11" s="35">
        <v>18887</v>
      </c>
      <c r="H11" s="35">
        <f t="shared" si="2"/>
        <v>377740</v>
      </c>
      <c r="I11" s="35">
        <v>9930</v>
      </c>
      <c r="J11" s="35">
        <f t="shared" si="3"/>
        <v>397200</v>
      </c>
      <c r="K11" s="35">
        <f t="shared" si="15"/>
        <v>4627968</v>
      </c>
      <c r="L11" s="57">
        <v>0.279353159664412</v>
      </c>
      <c r="M11" s="35">
        <f t="shared" si="4"/>
        <v>1292837.48362579</v>
      </c>
      <c r="N11" s="35">
        <v>31191</v>
      </c>
      <c r="O11" s="35">
        <f t="shared" si="16"/>
        <v>561438</v>
      </c>
      <c r="P11" s="35">
        <v>5876</v>
      </c>
      <c r="Q11" s="35">
        <f t="shared" si="5"/>
        <v>352560</v>
      </c>
      <c r="R11" s="35">
        <v>92</v>
      </c>
      <c r="S11" s="35">
        <f t="shared" si="17"/>
        <v>31280</v>
      </c>
      <c r="T11" s="35">
        <v>186</v>
      </c>
      <c r="U11" s="35">
        <f t="shared" si="18"/>
        <v>52080</v>
      </c>
      <c r="V11" s="35">
        <v>710</v>
      </c>
      <c r="W11" s="35">
        <f t="shared" si="19"/>
        <v>99400</v>
      </c>
      <c r="X11" s="35">
        <v>908</v>
      </c>
      <c r="Y11" s="35">
        <f t="shared" si="20"/>
        <v>45400</v>
      </c>
      <c r="Z11" s="35">
        <v>195</v>
      </c>
      <c r="AA11" s="35">
        <f t="shared" si="21"/>
        <v>167700</v>
      </c>
      <c r="AB11" s="35">
        <v>90</v>
      </c>
      <c r="AC11" s="35">
        <f t="shared" si="22"/>
        <v>23400</v>
      </c>
      <c r="AD11" s="35">
        <v>3310</v>
      </c>
      <c r="AE11" s="35">
        <f t="shared" si="36"/>
        <v>933420</v>
      </c>
      <c r="AF11" s="35">
        <v>2800</v>
      </c>
      <c r="AG11" s="35">
        <f t="shared" si="23"/>
        <v>112000</v>
      </c>
      <c r="AH11" s="35">
        <f t="shared" si="24"/>
        <v>16800</v>
      </c>
      <c r="AI11" s="35">
        <f t="shared" si="25"/>
        <v>588000</v>
      </c>
      <c r="AJ11" s="35">
        <f t="shared" si="26"/>
        <v>11200</v>
      </c>
      <c r="AK11" s="35">
        <f t="shared" si="27"/>
        <v>560000</v>
      </c>
      <c r="AL11" s="35">
        <v>251</v>
      </c>
      <c r="AM11" s="35">
        <f t="shared" si="28"/>
        <v>5020</v>
      </c>
      <c r="AN11" s="35">
        <v>1109</v>
      </c>
      <c r="AO11" s="35">
        <f t="shared" si="29"/>
        <v>44360</v>
      </c>
      <c r="AP11" s="35">
        <f t="shared" si="6"/>
        <v>6654</v>
      </c>
      <c r="AQ11" s="35">
        <f t="shared" si="30"/>
        <v>232890</v>
      </c>
      <c r="AR11" s="35">
        <f t="shared" si="7"/>
        <v>4436</v>
      </c>
      <c r="AS11" s="35">
        <f t="shared" si="37"/>
        <v>221800</v>
      </c>
      <c r="AT11" s="35">
        <v>142</v>
      </c>
      <c r="AU11" s="35">
        <f t="shared" si="31"/>
        <v>2840</v>
      </c>
      <c r="AV11" s="35">
        <v>211</v>
      </c>
      <c r="AW11" s="35">
        <f t="shared" si="38"/>
        <v>301730</v>
      </c>
      <c r="AX11" s="35">
        <v>0</v>
      </c>
      <c r="AY11" s="35">
        <f t="shared" si="32"/>
        <v>0</v>
      </c>
      <c r="AZ11" s="35">
        <v>91</v>
      </c>
      <c r="BA11" s="35">
        <f t="shared" si="33"/>
        <v>44590</v>
      </c>
      <c r="BB11" s="35">
        <v>2647</v>
      </c>
      <c r="BC11" s="35">
        <f t="shared" si="40"/>
        <v>52940</v>
      </c>
      <c r="BD11" s="35">
        <v>1626</v>
      </c>
      <c r="BE11" s="35">
        <f t="shared" si="39"/>
        <v>195120</v>
      </c>
      <c r="BF11" s="35">
        <f t="shared" si="8"/>
        <v>141655.5</v>
      </c>
      <c r="BG11" s="68">
        <f t="shared" si="9"/>
        <v>277.605498362579</v>
      </c>
      <c r="BH11" s="69">
        <v>277.61</v>
      </c>
      <c r="BI11" s="42">
        <v>269.79</v>
      </c>
      <c r="BJ11" s="70">
        <v>212</v>
      </c>
      <c r="BK11" s="71">
        <v>57.79</v>
      </c>
      <c r="BL11" s="69">
        <f t="shared" si="34"/>
        <v>7.81999999999999</v>
      </c>
      <c r="BM11" s="68">
        <v>7</v>
      </c>
      <c r="BN11" s="68">
        <v>0</v>
      </c>
      <c r="BO11" s="68">
        <f t="shared" si="10"/>
        <v>0.819999999999993</v>
      </c>
      <c r="BP11" s="76">
        <f t="shared" si="35"/>
        <v>88.1889513644017</v>
      </c>
      <c r="BQ11" s="77">
        <f t="shared" si="11"/>
        <v>0.788876481394762</v>
      </c>
      <c r="BR11" s="77">
        <f t="shared" si="12"/>
        <v>0.20816973451965</v>
      </c>
      <c r="BS11" s="77">
        <f t="shared" si="13"/>
        <v>0.00295378408558767</v>
      </c>
    </row>
    <row r="12" s="24" customFormat="1" ht="30" customHeight="1" spans="1:71">
      <c r="A12" s="36" t="s">
        <v>61</v>
      </c>
      <c r="B12" s="41">
        <v>22384</v>
      </c>
      <c r="C12" s="41" t="s">
        <v>54</v>
      </c>
      <c r="D12" s="42">
        <f t="shared" si="0"/>
        <v>18</v>
      </c>
      <c r="E12" s="41">
        <f t="shared" si="14"/>
        <v>402912</v>
      </c>
      <c r="F12" s="41">
        <f t="shared" si="1"/>
        <v>599640</v>
      </c>
      <c r="G12" s="35">
        <v>13430</v>
      </c>
      <c r="H12" s="35">
        <f t="shared" si="2"/>
        <v>268600</v>
      </c>
      <c r="I12" s="35">
        <v>8276</v>
      </c>
      <c r="J12" s="35">
        <f t="shared" si="3"/>
        <v>331040</v>
      </c>
      <c r="K12" s="35">
        <f t="shared" si="15"/>
        <v>3405738</v>
      </c>
      <c r="L12" s="57">
        <v>0.279353159664412</v>
      </c>
      <c r="M12" s="35">
        <f t="shared" si="4"/>
        <v>951403.671289155</v>
      </c>
      <c r="N12" s="35">
        <v>22384</v>
      </c>
      <c r="O12" s="35">
        <f t="shared" si="16"/>
        <v>402912</v>
      </c>
      <c r="P12" s="35">
        <v>5198</v>
      </c>
      <c r="Q12" s="35">
        <f t="shared" si="5"/>
        <v>311880</v>
      </c>
      <c r="R12" s="35">
        <v>70</v>
      </c>
      <c r="S12" s="35">
        <f t="shared" si="17"/>
        <v>23800</v>
      </c>
      <c r="T12" s="35">
        <v>178</v>
      </c>
      <c r="U12" s="35">
        <f t="shared" si="18"/>
        <v>49840</v>
      </c>
      <c r="V12" s="35">
        <v>470</v>
      </c>
      <c r="W12" s="35">
        <f t="shared" si="19"/>
        <v>65800</v>
      </c>
      <c r="X12" s="35">
        <v>765</v>
      </c>
      <c r="Y12" s="35">
        <f t="shared" si="20"/>
        <v>38250</v>
      </c>
      <c r="Z12" s="35">
        <v>178</v>
      </c>
      <c r="AA12" s="35">
        <f t="shared" si="21"/>
        <v>153080</v>
      </c>
      <c r="AB12" s="35">
        <v>80</v>
      </c>
      <c r="AC12" s="35">
        <f t="shared" si="22"/>
        <v>20800</v>
      </c>
      <c r="AD12" s="35">
        <v>2370</v>
      </c>
      <c r="AE12" s="35">
        <f t="shared" si="36"/>
        <v>668340</v>
      </c>
      <c r="AF12" s="35">
        <v>2016</v>
      </c>
      <c r="AG12" s="35">
        <f t="shared" si="23"/>
        <v>80640</v>
      </c>
      <c r="AH12" s="35">
        <f t="shared" si="24"/>
        <v>12096</v>
      </c>
      <c r="AI12" s="35">
        <f t="shared" si="25"/>
        <v>423360</v>
      </c>
      <c r="AJ12" s="35">
        <f t="shared" si="26"/>
        <v>8064</v>
      </c>
      <c r="AK12" s="35">
        <f t="shared" si="27"/>
        <v>403200</v>
      </c>
      <c r="AL12" s="35">
        <v>172</v>
      </c>
      <c r="AM12" s="35">
        <f t="shared" si="28"/>
        <v>3440</v>
      </c>
      <c r="AN12" s="35">
        <v>757</v>
      </c>
      <c r="AO12" s="35">
        <f t="shared" si="29"/>
        <v>30280</v>
      </c>
      <c r="AP12" s="35">
        <f t="shared" si="6"/>
        <v>4542</v>
      </c>
      <c r="AQ12" s="35">
        <f t="shared" si="30"/>
        <v>158970</v>
      </c>
      <c r="AR12" s="35">
        <f t="shared" si="7"/>
        <v>3028</v>
      </c>
      <c r="AS12" s="35">
        <f t="shared" si="37"/>
        <v>151400</v>
      </c>
      <c r="AT12" s="35">
        <v>103</v>
      </c>
      <c r="AU12" s="35">
        <f t="shared" si="31"/>
        <v>2060</v>
      </c>
      <c r="AV12" s="35">
        <v>140</v>
      </c>
      <c r="AW12" s="35">
        <f t="shared" si="38"/>
        <v>200200</v>
      </c>
      <c r="AX12" s="35">
        <v>9</v>
      </c>
      <c r="AY12" s="35">
        <f t="shared" si="32"/>
        <v>19656</v>
      </c>
      <c r="AZ12" s="35">
        <v>59</v>
      </c>
      <c r="BA12" s="35">
        <f t="shared" si="33"/>
        <v>28910</v>
      </c>
      <c r="BB12" s="35">
        <v>1726</v>
      </c>
      <c r="BC12" s="35">
        <f t="shared" si="40"/>
        <v>34520</v>
      </c>
      <c r="BD12" s="35">
        <v>1120</v>
      </c>
      <c r="BE12" s="35">
        <f t="shared" si="39"/>
        <v>134400</v>
      </c>
      <c r="BF12" s="35">
        <f t="shared" si="8"/>
        <v>100728</v>
      </c>
      <c r="BG12" s="68">
        <f t="shared" si="9"/>
        <v>205.468367128916</v>
      </c>
      <c r="BH12" s="69">
        <v>205.47</v>
      </c>
      <c r="BI12" s="42">
        <v>205.47</v>
      </c>
      <c r="BJ12" s="70">
        <v>159</v>
      </c>
      <c r="BK12" s="71">
        <v>46.47</v>
      </c>
      <c r="BL12" s="69">
        <f t="shared" si="34"/>
        <v>0</v>
      </c>
      <c r="BM12" s="68">
        <v>0</v>
      </c>
      <c r="BN12" s="68">
        <v>0</v>
      </c>
      <c r="BO12" s="68">
        <f t="shared" si="10"/>
        <v>0</v>
      </c>
      <c r="BP12" s="76">
        <f t="shared" si="35"/>
        <v>91.7932451751251</v>
      </c>
      <c r="BQ12" s="77">
        <f t="shared" si="11"/>
        <v>0.773835596437436</v>
      </c>
      <c r="BR12" s="77">
        <f t="shared" si="12"/>
        <v>0.226164403562564</v>
      </c>
      <c r="BS12" s="77">
        <f t="shared" si="13"/>
        <v>0</v>
      </c>
    </row>
    <row r="13" s="24" customFormat="1" ht="30" customHeight="1" spans="1:71">
      <c r="A13" s="36" t="s">
        <v>62</v>
      </c>
      <c r="B13" s="41">
        <v>22267</v>
      </c>
      <c r="C13" s="41" t="s">
        <v>57</v>
      </c>
      <c r="D13" s="42">
        <f t="shared" ref="D13:D16" si="41">90*0.25</f>
        <v>22.5</v>
      </c>
      <c r="E13" s="41">
        <f t="shared" si="14"/>
        <v>501007.5</v>
      </c>
      <c r="F13" s="41">
        <f t="shared" si="1"/>
        <v>657200</v>
      </c>
      <c r="G13" s="35">
        <v>13360</v>
      </c>
      <c r="H13" s="35">
        <f t="shared" si="2"/>
        <v>267200</v>
      </c>
      <c r="I13" s="35">
        <v>9750</v>
      </c>
      <c r="J13" s="35">
        <f t="shared" si="3"/>
        <v>390000</v>
      </c>
      <c r="K13" s="35">
        <f t="shared" si="15"/>
        <v>3245556</v>
      </c>
      <c r="L13" s="57">
        <v>0.279353159664412</v>
      </c>
      <c r="M13" s="35">
        <f t="shared" si="4"/>
        <v>906656.32346779</v>
      </c>
      <c r="N13" s="35">
        <v>22171</v>
      </c>
      <c r="O13" s="35">
        <f t="shared" si="16"/>
        <v>399078</v>
      </c>
      <c r="P13" s="35">
        <v>3838</v>
      </c>
      <c r="Q13" s="35">
        <f t="shared" si="5"/>
        <v>230280</v>
      </c>
      <c r="R13" s="35">
        <v>43</v>
      </c>
      <c r="S13" s="35">
        <f t="shared" si="17"/>
        <v>14620</v>
      </c>
      <c r="T13" s="35">
        <v>89</v>
      </c>
      <c r="U13" s="35">
        <f t="shared" si="18"/>
        <v>24920</v>
      </c>
      <c r="V13" s="35">
        <v>336</v>
      </c>
      <c r="W13" s="35">
        <f t="shared" si="19"/>
        <v>47040</v>
      </c>
      <c r="X13" s="35">
        <v>543</v>
      </c>
      <c r="Y13" s="35">
        <f t="shared" si="20"/>
        <v>27150</v>
      </c>
      <c r="Z13" s="35">
        <v>97</v>
      </c>
      <c r="AA13" s="35">
        <f t="shared" si="21"/>
        <v>83420</v>
      </c>
      <c r="AB13" s="35">
        <v>39</v>
      </c>
      <c r="AC13" s="35">
        <f t="shared" si="22"/>
        <v>10140</v>
      </c>
      <c r="AD13" s="35">
        <v>2438</v>
      </c>
      <c r="AE13" s="35">
        <f t="shared" si="36"/>
        <v>687516</v>
      </c>
      <c r="AF13" s="35">
        <v>2053</v>
      </c>
      <c r="AG13" s="35">
        <f t="shared" si="23"/>
        <v>82120</v>
      </c>
      <c r="AH13" s="35">
        <f t="shared" si="24"/>
        <v>12318</v>
      </c>
      <c r="AI13" s="35">
        <f t="shared" si="25"/>
        <v>431130</v>
      </c>
      <c r="AJ13" s="35">
        <f t="shared" si="26"/>
        <v>8212</v>
      </c>
      <c r="AK13" s="35">
        <f t="shared" si="27"/>
        <v>410600</v>
      </c>
      <c r="AL13" s="35">
        <v>309</v>
      </c>
      <c r="AM13" s="35">
        <f t="shared" si="28"/>
        <v>6180</v>
      </c>
      <c r="AN13" s="35">
        <v>712</v>
      </c>
      <c r="AO13" s="35">
        <f t="shared" si="29"/>
        <v>28480</v>
      </c>
      <c r="AP13" s="35">
        <f t="shared" si="6"/>
        <v>4272</v>
      </c>
      <c r="AQ13" s="35">
        <f t="shared" si="30"/>
        <v>149520</v>
      </c>
      <c r="AR13" s="35">
        <f t="shared" si="7"/>
        <v>2848</v>
      </c>
      <c r="AS13" s="35">
        <f t="shared" si="37"/>
        <v>142400</v>
      </c>
      <c r="AT13" s="35">
        <v>114</v>
      </c>
      <c r="AU13" s="35">
        <f t="shared" si="31"/>
        <v>2280</v>
      </c>
      <c r="AV13" s="35">
        <v>203</v>
      </c>
      <c r="AW13" s="35">
        <f t="shared" si="38"/>
        <v>290290</v>
      </c>
      <c r="AX13" s="35">
        <v>8</v>
      </c>
      <c r="AY13" s="35">
        <f t="shared" si="32"/>
        <v>17472</v>
      </c>
      <c r="AZ13" s="35">
        <v>102</v>
      </c>
      <c r="BA13" s="35">
        <f t="shared" si="33"/>
        <v>49980</v>
      </c>
      <c r="BB13" s="35">
        <v>1911</v>
      </c>
      <c r="BC13" s="35">
        <f t="shared" si="40"/>
        <v>38220</v>
      </c>
      <c r="BD13" s="35">
        <v>606</v>
      </c>
      <c r="BE13" s="35">
        <f t="shared" si="39"/>
        <v>72720</v>
      </c>
      <c r="BF13" s="35">
        <f t="shared" si="8"/>
        <v>100201.5</v>
      </c>
      <c r="BG13" s="68">
        <f t="shared" si="9"/>
        <v>216.506532346779</v>
      </c>
      <c r="BH13" s="69">
        <v>216.51</v>
      </c>
      <c r="BI13" s="42">
        <v>169.92</v>
      </c>
      <c r="BJ13" s="70">
        <v>145</v>
      </c>
      <c r="BK13" s="71">
        <v>24.92</v>
      </c>
      <c r="BL13" s="69">
        <f t="shared" si="34"/>
        <v>46.59</v>
      </c>
      <c r="BM13" s="68">
        <v>27</v>
      </c>
      <c r="BN13" s="68">
        <v>8</v>
      </c>
      <c r="BO13" s="68">
        <f t="shared" si="10"/>
        <v>11.59</v>
      </c>
      <c r="BP13" s="76">
        <f t="shared" si="35"/>
        <v>97.2335743476894</v>
      </c>
      <c r="BQ13" s="77">
        <f t="shared" si="11"/>
        <v>0.794420581035518</v>
      </c>
      <c r="BR13" s="77">
        <f t="shared" si="12"/>
        <v>0.152048404230751</v>
      </c>
      <c r="BS13" s="77">
        <f t="shared" si="13"/>
        <v>0.0535310147337306</v>
      </c>
    </row>
    <row r="14" s="24" customFormat="1" ht="30" customHeight="1" spans="1:71">
      <c r="A14" s="36" t="s">
        <v>63</v>
      </c>
      <c r="B14" s="41">
        <v>30352</v>
      </c>
      <c r="C14" s="41" t="s">
        <v>57</v>
      </c>
      <c r="D14" s="42">
        <f t="shared" si="41"/>
        <v>22.5</v>
      </c>
      <c r="E14" s="41">
        <f t="shared" si="14"/>
        <v>682920</v>
      </c>
      <c r="F14" s="41">
        <f t="shared" si="1"/>
        <v>862540</v>
      </c>
      <c r="G14" s="35">
        <v>18211</v>
      </c>
      <c r="H14" s="35">
        <f t="shared" si="2"/>
        <v>364220</v>
      </c>
      <c r="I14" s="35">
        <v>12458</v>
      </c>
      <c r="J14" s="35">
        <f t="shared" si="3"/>
        <v>498320</v>
      </c>
      <c r="K14" s="35">
        <f t="shared" si="15"/>
        <v>4579324</v>
      </c>
      <c r="L14" s="57">
        <v>0.279353159664412</v>
      </c>
      <c r="M14" s="35">
        <f t="shared" si="4"/>
        <v>1279248.62852707</v>
      </c>
      <c r="N14" s="35">
        <v>30557</v>
      </c>
      <c r="O14" s="35">
        <f t="shared" si="16"/>
        <v>550026</v>
      </c>
      <c r="P14" s="35">
        <v>4305</v>
      </c>
      <c r="Q14" s="35">
        <f t="shared" si="5"/>
        <v>258300</v>
      </c>
      <c r="R14" s="35">
        <v>64</v>
      </c>
      <c r="S14" s="35">
        <f t="shared" si="17"/>
        <v>21760</v>
      </c>
      <c r="T14" s="35">
        <v>118</v>
      </c>
      <c r="U14" s="35">
        <f t="shared" si="18"/>
        <v>33040</v>
      </c>
      <c r="V14" s="35">
        <v>391</v>
      </c>
      <c r="W14" s="35">
        <f t="shared" si="19"/>
        <v>54740</v>
      </c>
      <c r="X14" s="35">
        <v>494</v>
      </c>
      <c r="Y14" s="35">
        <f t="shared" si="20"/>
        <v>24700</v>
      </c>
      <c r="Z14" s="35">
        <v>140</v>
      </c>
      <c r="AA14" s="35">
        <f t="shared" si="21"/>
        <v>120400</v>
      </c>
      <c r="AB14" s="35">
        <v>67</v>
      </c>
      <c r="AC14" s="35">
        <f t="shared" si="22"/>
        <v>17420</v>
      </c>
      <c r="AD14" s="35">
        <v>3322</v>
      </c>
      <c r="AE14" s="35">
        <f t="shared" si="36"/>
        <v>936804</v>
      </c>
      <c r="AF14" s="35">
        <v>3349</v>
      </c>
      <c r="AG14" s="35">
        <f t="shared" si="23"/>
        <v>133960</v>
      </c>
      <c r="AH14" s="35">
        <f t="shared" si="24"/>
        <v>20094</v>
      </c>
      <c r="AI14" s="35">
        <f t="shared" si="25"/>
        <v>703290</v>
      </c>
      <c r="AJ14" s="35">
        <f t="shared" si="26"/>
        <v>13396</v>
      </c>
      <c r="AK14" s="35">
        <f t="shared" si="27"/>
        <v>669800</v>
      </c>
      <c r="AL14" s="35">
        <v>352</v>
      </c>
      <c r="AM14" s="35">
        <f t="shared" si="28"/>
        <v>7040</v>
      </c>
      <c r="AN14" s="35">
        <v>972</v>
      </c>
      <c r="AO14" s="35">
        <f t="shared" si="29"/>
        <v>38880</v>
      </c>
      <c r="AP14" s="35">
        <f t="shared" si="6"/>
        <v>5832</v>
      </c>
      <c r="AQ14" s="35">
        <f t="shared" si="30"/>
        <v>204120</v>
      </c>
      <c r="AR14" s="35">
        <f t="shared" si="7"/>
        <v>3888</v>
      </c>
      <c r="AS14" s="35">
        <f t="shared" si="37"/>
        <v>194400</v>
      </c>
      <c r="AT14" s="35">
        <v>115</v>
      </c>
      <c r="AU14" s="35">
        <f t="shared" si="31"/>
        <v>2300</v>
      </c>
      <c r="AV14" s="35">
        <v>256</v>
      </c>
      <c r="AW14" s="35">
        <f t="shared" si="38"/>
        <v>366080</v>
      </c>
      <c r="AX14" s="35">
        <v>6</v>
      </c>
      <c r="AY14" s="35">
        <f t="shared" si="32"/>
        <v>13104</v>
      </c>
      <c r="AZ14" s="35">
        <v>132</v>
      </c>
      <c r="BA14" s="35">
        <f t="shared" si="33"/>
        <v>64680</v>
      </c>
      <c r="BB14" s="35">
        <v>2662</v>
      </c>
      <c r="BC14" s="35">
        <f t="shared" si="40"/>
        <v>53240</v>
      </c>
      <c r="BD14" s="35">
        <v>927</v>
      </c>
      <c r="BE14" s="35">
        <f t="shared" si="39"/>
        <v>111240</v>
      </c>
      <c r="BF14" s="35">
        <f t="shared" si="8"/>
        <v>136584</v>
      </c>
      <c r="BG14" s="68">
        <f t="shared" si="9"/>
        <v>296.129262852707</v>
      </c>
      <c r="BH14" s="69">
        <v>296.13</v>
      </c>
      <c r="BI14" s="42">
        <v>243.9</v>
      </c>
      <c r="BJ14" s="70">
        <v>207</v>
      </c>
      <c r="BK14" s="71">
        <v>36.9</v>
      </c>
      <c r="BL14" s="69">
        <f t="shared" si="34"/>
        <v>52.23</v>
      </c>
      <c r="BM14" s="68">
        <v>30</v>
      </c>
      <c r="BN14" s="68">
        <v>5</v>
      </c>
      <c r="BO14" s="68">
        <f t="shared" si="10"/>
        <v>17.23</v>
      </c>
      <c r="BP14" s="76">
        <f t="shared" si="35"/>
        <v>97.5652345809172</v>
      </c>
      <c r="BQ14" s="77">
        <f t="shared" si="11"/>
        <v>0.800324181947118</v>
      </c>
      <c r="BR14" s="77">
        <f t="shared" si="12"/>
        <v>0.141491912335798</v>
      </c>
      <c r="BS14" s="77">
        <f t="shared" si="13"/>
        <v>0.0581839057170837</v>
      </c>
    </row>
    <row r="15" s="24" customFormat="1" ht="30" customHeight="1" spans="1:71">
      <c r="A15" s="36" t="s">
        <v>64</v>
      </c>
      <c r="B15" s="41">
        <v>23125</v>
      </c>
      <c r="C15" s="41" t="s">
        <v>57</v>
      </c>
      <c r="D15" s="42">
        <f t="shared" si="41"/>
        <v>22.5</v>
      </c>
      <c r="E15" s="41">
        <f t="shared" si="14"/>
        <v>520312.5</v>
      </c>
      <c r="F15" s="41">
        <f t="shared" si="1"/>
        <v>739580</v>
      </c>
      <c r="G15" s="35">
        <v>13875</v>
      </c>
      <c r="H15" s="35">
        <f t="shared" si="2"/>
        <v>277500</v>
      </c>
      <c r="I15" s="35">
        <v>11552</v>
      </c>
      <c r="J15" s="35">
        <f t="shared" si="3"/>
        <v>462080</v>
      </c>
      <c r="K15" s="35">
        <f t="shared" si="15"/>
        <v>2902502</v>
      </c>
      <c r="L15" s="57">
        <v>0.279353159664412</v>
      </c>
      <c r="M15" s="35">
        <f t="shared" si="4"/>
        <v>810823.104632275</v>
      </c>
      <c r="N15" s="35">
        <v>22258</v>
      </c>
      <c r="O15" s="35">
        <f t="shared" si="16"/>
        <v>400644</v>
      </c>
      <c r="P15" s="35">
        <v>2926</v>
      </c>
      <c r="Q15" s="35">
        <f t="shared" si="5"/>
        <v>175560</v>
      </c>
      <c r="R15" s="35">
        <v>46</v>
      </c>
      <c r="S15" s="35">
        <f t="shared" si="17"/>
        <v>15640</v>
      </c>
      <c r="T15" s="35">
        <v>91</v>
      </c>
      <c r="U15" s="35">
        <f t="shared" si="18"/>
        <v>25480</v>
      </c>
      <c r="V15" s="35">
        <v>342</v>
      </c>
      <c r="W15" s="35">
        <f t="shared" si="19"/>
        <v>47880</v>
      </c>
      <c r="X15" s="35">
        <v>448</v>
      </c>
      <c r="Y15" s="35">
        <f t="shared" si="20"/>
        <v>22400</v>
      </c>
      <c r="Z15" s="35">
        <v>106</v>
      </c>
      <c r="AA15" s="35">
        <f t="shared" si="21"/>
        <v>91160</v>
      </c>
      <c r="AB15" s="35">
        <v>48</v>
      </c>
      <c r="AC15" s="35">
        <f t="shared" si="22"/>
        <v>12480</v>
      </c>
      <c r="AD15" s="35">
        <v>2345</v>
      </c>
      <c r="AE15" s="35">
        <f t="shared" si="36"/>
        <v>661290</v>
      </c>
      <c r="AF15" s="35">
        <v>1894</v>
      </c>
      <c r="AG15" s="35">
        <f t="shared" si="23"/>
        <v>75760</v>
      </c>
      <c r="AH15" s="35">
        <f t="shared" si="24"/>
        <v>11364</v>
      </c>
      <c r="AI15" s="35">
        <f t="shared" si="25"/>
        <v>397740</v>
      </c>
      <c r="AJ15" s="35">
        <f t="shared" si="26"/>
        <v>7576</v>
      </c>
      <c r="AK15" s="35">
        <f t="shared" si="27"/>
        <v>378800</v>
      </c>
      <c r="AL15" s="35">
        <v>269</v>
      </c>
      <c r="AM15" s="35">
        <f t="shared" si="28"/>
        <v>5380</v>
      </c>
      <c r="AN15" s="35">
        <v>547</v>
      </c>
      <c r="AO15" s="35">
        <f t="shared" si="29"/>
        <v>21880</v>
      </c>
      <c r="AP15" s="35">
        <f t="shared" si="6"/>
        <v>3282</v>
      </c>
      <c r="AQ15" s="35">
        <f t="shared" si="30"/>
        <v>114870</v>
      </c>
      <c r="AR15" s="35">
        <f t="shared" si="7"/>
        <v>2188</v>
      </c>
      <c r="AS15" s="35">
        <f t="shared" si="37"/>
        <v>109400</v>
      </c>
      <c r="AT15" s="35">
        <v>86</v>
      </c>
      <c r="AU15" s="35">
        <f t="shared" si="31"/>
        <v>1720</v>
      </c>
      <c r="AV15" s="35">
        <v>124</v>
      </c>
      <c r="AW15" s="35">
        <f t="shared" si="38"/>
        <v>177320</v>
      </c>
      <c r="AX15" s="35">
        <v>7</v>
      </c>
      <c r="AY15" s="35">
        <f t="shared" si="32"/>
        <v>15288</v>
      </c>
      <c r="AZ15" s="35">
        <v>67</v>
      </c>
      <c r="BA15" s="35">
        <f t="shared" si="33"/>
        <v>32830</v>
      </c>
      <c r="BB15" s="35">
        <v>1353</v>
      </c>
      <c r="BC15" s="35">
        <f t="shared" si="40"/>
        <v>27060</v>
      </c>
      <c r="BD15" s="35">
        <v>766</v>
      </c>
      <c r="BE15" s="35">
        <f t="shared" si="39"/>
        <v>91920</v>
      </c>
      <c r="BF15" s="35">
        <f t="shared" si="8"/>
        <v>104062.5</v>
      </c>
      <c r="BG15" s="68">
        <f t="shared" si="9"/>
        <v>217.477810463228</v>
      </c>
      <c r="BH15" s="69">
        <v>217.48</v>
      </c>
      <c r="BI15" s="42">
        <v>187.36</v>
      </c>
      <c r="BJ15" s="70">
        <v>146</v>
      </c>
      <c r="BK15" s="71">
        <v>41.36</v>
      </c>
      <c r="BL15" s="69">
        <f t="shared" si="34"/>
        <v>30.12</v>
      </c>
      <c r="BM15" s="68">
        <v>27</v>
      </c>
      <c r="BN15" s="68">
        <v>0</v>
      </c>
      <c r="BO15" s="68">
        <f t="shared" si="10"/>
        <v>3.11999999999998</v>
      </c>
      <c r="BP15" s="76">
        <f t="shared" si="35"/>
        <v>94.0454054054054</v>
      </c>
      <c r="BQ15" s="77">
        <f t="shared" si="11"/>
        <v>0.795475446018025</v>
      </c>
      <c r="BR15" s="77">
        <f t="shared" si="12"/>
        <v>0.190178407209858</v>
      </c>
      <c r="BS15" s="77">
        <f t="shared" si="13"/>
        <v>0.0143461467721169</v>
      </c>
    </row>
    <row r="16" s="24" customFormat="1" ht="30" customHeight="1" spans="1:71">
      <c r="A16" s="36" t="s">
        <v>65</v>
      </c>
      <c r="B16" s="41">
        <v>26884</v>
      </c>
      <c r="C16" s="41" t="s">
        <v>57</v>
      </c>
      <c r="D16" s="42">
        <f t="shared" si="41"/>
        <v>22.5</v>
      </c>
      <c r="E16" s="41">
        <f t="shared" si="14"/>
        <v>604890</v>
      </c>
      <c r="F16" s="41">
        <f t="shared" si="1"/>
        <v>843000</v>
      </c>
      <c r="G16" s="35">
        <v>16130</v>
      </c>
      <c r="H16" s="35">
        <f t="shared" si="2"/>
        <v>322600</v>
      </c>
      <c r="I16" s="35">
        <v>13010</v>
      </c>
      <c r="J16" s="35">
        <f t="shared" si="3"/>
        <v>520400</v>
      </c>
      <c r="K16" s="35">
        <f t="shared" si="15"/>
        <v>3934934</v>
      </c>
      <c r="L16" s="57">
        <v>0.279353159664412</v>
      </c>
      <c r="M16" s="35">
        <f t="shared" si="4"/>
        <v>1099236.24597092</v>
      </c>
      <c r="N16" s="35">
        <v>26610</v>
      </c>
      <c r="O16" s="35">
        <f t="shared" si="16"/>
        <v>478980</v>
      </c>
      <c r="P16" s="35">
        <v>4652</v>
      </c>
      <c r="Q16" s="35">
        <f t="shared" si="5"/>
        <v>279120</v>
      </c>
      <c r="R16" s="35">
        <v>47</v>
      </c>
      <c r="S16" s="35">
        <f t="shared" si="17"/>
        <v>15980</v>
      </c>
      <c r="T16" s="35">
        <v>89</v>
      </c>
      <c r="U16" s="35">
        <f t="shared" si="18"/>
        <v>24920</v>
      </c>
      <c r="V16" s="35">
        <v>387</v>
      </c>
      <c r="W16" s="35">
        <f t="shared" si="19"/>
        <v>54180</v>
      </c>
      <c r="X16" s="35">
        <v>633</v>
      </c>
      <c r="Y16" s="35">
        <f t="shared" si="20"/>
        <v>31650</v>
      </c>
      <c r="Z16" s="35">
        <v>108</v>
      </c>
      <c r="AA16" s="35">
        <f t="shared" si="21"/>
        <v>92880</v>
      </c>
      <c r="AB16" s="35">
        <v>52</v>
      </c>
      <c r="AC16" s="35">
        <f t="shared" si="22"/>
        <v>13520</v>
      </c>
      <c r="AD16" s="35">
        <v>2944</v>
      </c>
      <c r="AE16" s="35">
        <f t="shared" si="36"/>
        <v>830208</v>
      </c>
      <c r="AF16" s="35">
        <v>2820</v>
      </c>
      <c r="AG16" s="35">
        <f t="shared" si="23"/>
        <v>112800</v>
      </c>
      <c r="AH16" s="35">
        <f t="shared" si="24"/>
        <v>16920</v>
      </c>
      <c r="AI16" s="35">
        <f t="shared" si="25"/>
        <v>592200</v>
      </c>
      <c r="AJ16" s="35">
        <f t="shared" si="26"/>
        <v>11280</v>
      </c>
      <c r="AK16" s="35">
        <f t="shared" si="27"/>
        <v>564000</v>
      </c>
      <c r="AL16" s="35">
        <v>235</v>
      </c>
      <c r="AM16" s="35">
        <f t="shared" si="28"/>
        <v>4700</v>
      </c>
      <c r="AN16" s="35">
        <v>863</v>
      </c>
      <c r="AO16" s="35">
        <f t="shared" si="29"/>
        <v>34520</v>
      </c>
      <c r="AP16" s="35">
        <f t="shared" si="6"/>
        <v>5178</v>
      </c>
      <c r="AQ16" s="35">
        <f t="shared" si="30"/>
        <v>181230</v>
      </c>
      <c r="AR16" s="35">
        <f t="shared" si="7"/>
        <v>3452</v>
      </c>
      <c r="AS16" s="35">
        <f t="shared" si="37"/>
        <v>172600</v>
      </c>
      <c r="AT16" s="35">
        <v>113</v>
      </c>
      <c r="AU16" s="35">
        <f t="shared" si="31"/>
        <v>2260</v>
      </c>
      <c r="AV16" s="35">
        <v>162</v>
      </c>
      <c r="AW16" s="35">
        <f t="shared" si="38"/>
        <v>231660</v>
      </c>
      <c r="AX16" s="35">
        <v>4</v>
      </c>
      <c r="AY16" s="35">
        <f t="shared" si="32"/>
        <v>8736</v>
      </c>
      <c r="AZ16" s="35">
        <v>143</v>
      </c>
      <c r="BA16" s="35">
        <f t="shared" si="33"/>
        <v>70070</v>
      </c>
      <c r="BB16" s="35">
        <v>1614</v>
      </c>
      <c r="BC16" s="35">
        <f t="shared" si="40"/>
        <v>32280</v>
      </c>
      <c r="BD16" s="35">
        <v>887</v>
      </c>
      <c r="BE16" s="35">
        <f t="shared" si="39"/>
        <v>106440</v>
      </c>
      <c r="BF16" s="35">
        <f t="shared" si="8"/>
        <v>120978</v>
      </c>
      <c r="BG16" s="68">
        <f t="shared" si="9"/>
        <v>266.810424597092</v>
      </c>
      <c r="BH16" s="69">
        <v>266.81</v>
      </c>
      <c r="BI16" s="42">
        <v>225.53</v>
      </c>
      <c r="BJ16" s="70">
        <v>189</v>
      </c>
      <c r="BK16" s="71">
        <v>36.5299999999999</v>
      </c>
      <c r="BL16" s="69">
        <f t="shared" si="34"/>
        <v>41.28</v>
      </c>
      <c r="BM16" s="68">
        <v>20</v>
      </c>
      <c r="BN16" s="68">
        <v>0</v>
      </c>
      <c r="BO16" s="68">
        <f t="shared" si="10"/>
        <v>21.28</v>
      </c>
      <c r="BP16" s="76">
        <f t="shared" si="35"/>
        <v>99.2449040321381</v>
      </c>
      <c r="BQ16" s="77">
        <f t="shared" si="11"/>
        <v>0.783328960683633</v>
      </c>
      <c r="BR16" s="77">
        <f t="shared" si="12"/>
        <v>0.136913908774034</v>
      </c>
      <c r="BS16" s="77">
        <f t="shared" si="13"/>
        <v>0.0797571305423335</v>
      </c>
    </row>
    <row r="17" s="24" customFormat="1" ht="30" customHeight="1" spans="1:71">
      <c r="A17" s="36" t="s">
        <v>66</v>
      </c>
      <c r="B17" s="41">
        <v>17727</v>
      </c>
      <c r="C17" s="41" t="s">
        <v>54</v>
      </c>
      <c r="D17" s="42">
        <f t="shared" ref="D17:D19" si="42">90*0.2</f>
        <v>18</v>
      </c>
      <c r="E17" s="41">
        <f t="shared" si="14"/>
        <v>319086</v>
      </c>
      <c r="F17" s="41">
        <f t="shared" si="1"/>
        <v>443000</v>
      </c>
      <c r="G17" s="35">
        <v>10636</v>
      </c>
      <c r="H17" s="35">
        <f t="shared" si="2"/>
        <v>212720</v>
      </c>
      <c r="I17" s="35">
        <v>5757</v>
      </c>
      <c r="J17" s="35">
        <f t="shared" si="3"/>
        <v>230280</v>
      </c>
      <c r="K17" s="35">
        <f t="shared" si="15"/>
        <v>2507582</v>
      </c>
      <c r="L17" s="57">
        <v>0.279353159664412</v>
      </c>
      <c r="M17" s="35">
        <f t="shared" si="4"/>
        <v>700500.954817606</v>
      </c>
      <c r="N17" s="35">
        <v>17289</v>
      </c>
      <c r="O17" s="35">
        <f t="shared" si="16"/>
        <v>311202</v>
      </c>
      <c r="P17" s="35">
        <v>2134</v>
      </c>
      <c r="Q17" s="35">
        <f t="shared" si="5"/>
        <v>128040</v>
      </c>
      <c r="R17" s="35">
        <v>23</v>
      </c>
      <c r="S17" s="35">
        <f t="shared" si="17"/>
        <v>7820</v>
      </c>
      <c r="T17" s="35">
        <v>80</v>
      </c>
      <c r="U17" s="35">
        <f t="shared" si="18"/>
        <v>22400</v>
      </c>
      <c r="V17" s="35">
        <v>333</v>
      </c>
      <c r="W17" s="35">
        <f t="shared" si="19"/>
        <v>46620</v>
      </c>
      <c r="X17" s="35">
        <v>550</v>
      </c>
      <c r="Y17" s="35">
        <f t="shared" si="20"/>
        <v>27500</v>
      </c>
      <c r="Z17" s="35">
        <v>109</v>
      </c>
      <c r="AA17" s="35">
        <f t="shared" si="21"/>
        <v>93740</v>
      </c>
      <c r="AB17" s="35">
        <v>44</v>
      </c>
      <c r="AC17" s="35">
        <f t="shared" si="22"/>
        <v>11440</v>
      </c>
      <c r="AD17" s="35">
        <v>1939</v>
      </c>
      <c r="AE17" s="35">
        <f t="shared" si="36"/>
        <v>546798</v>
      </c>
      <c r="AF17" s="35">
        <v>1624</v>
      </c>
      <c r="AG17" s="35">
        <f t="shared" si="23"/>
        <v>64960</v>
      </c>
      <c r="AH17" s="35">
        <f t="shared" si="24"/>
        <v>9744</v>
      </c>
      <c r="AI17" s="35">
        <f t="shared" si="25"/>
        <v>341040</v>
      </c>
      <c r="AJ17" s="35">
        <f t="shared" si="26"/>
        <v>6496</v>
      </c>
      <c r="AK17" s="35">
        <f t="shared" si="27"/>
        <v>324800</v>
      </c>
      <c r="AL17" s="35">
        <v>235</v>
      </c>
      <c r="AM17" s="35">
        <f t="shared" si="28"/>
        <v>4700</v>
      </c>
      <c r="AN17" s="35">
        <v>519</v>
      </c>
      <c r="AO17" s="35">
        <f t="shared" si="29"/>
        <v>20760</v>
      </c>
      <c r="AP17" s="35">
        <f t="shared" si="6"/>
        <v>3114</v>
      </c>
      <c r="AQ17" s="35">
        <f t="shared" si="30"/>
        <v>108990</v>
      </c>
      <c r="AR17" s="35">
        <f t="shared" si="7"/>
        <v>2076</v>
      </c>
      <c r="AS17" s="35">
        <f t="shared" si="37"/>
        <v>103800</v>
      </c>
      <c r="AT17" s="35">
        <v>130</v>
      </c>
      <c r="AU17" s="35">
        <f t="shared" si="31"/>
        <v>2600</v>
      </c>
      <c r="AV17" s="35">
        <v>132</v>
      </c>
      <c r="AW17" s="35">
        <f t="shared" si="38"/>
        <v>188760</v>
      </c>
      <c r="AX17" s="35">
        <v>3</v>
      </c>
      <c r="AY17" s="35">
        <f t="shared" si="32"/>
        <v>6552</v>
      </c>
      <c r="AZ17" s="35">
        <v>60</v>
      </c>
      <c r="BA17" s="35">
        <f t="shared" si="33"/>
        <v>29400</v>
      </c>
      <c r="BB17" s="35">
        <v>1169</v>
      </c>
      <c r="BC17" s="35">
        <f t="shared" si="40"/>
        <v>23380</v>
      </c>
      <c r="BD17" s="35">
        <v>769</v>
      </c>
      <c r="BE17" s="35">
        <f t="shared" si="39"/>
        <v>92280</v>
      </c>
      <c r="BF17" s="35">
        <f t="shared" si="8"/>
        <v>79771.5</v>
      </c>
      <c r="BG17" s="68">
        <f t="shared" si="9"/>
        <v>154.235845481761</v>
      </c>
      <c r="BH17" s="69">
        <v>154.24</v>
      </c>
      <c r="BI17" s="42">
        <v>141.85</v>
      </c>
      <c r="BJ17" s="70">
        <v>112</v>
      </c>
      <c r="BK17" s="71">
        <v>29.85</v>
      </c>
      <c r="BL17" s="69">
        <f t="shared" si="34"/>
        <v>12.39</v>
      </c>
      <c r="BM17" s="68">
        <v>11</v>
      </c>
      <c r="BN17" s="68">
        <v>0</v>
      </c>
      <c r="BO17" s="68">
        <f t="shared" si="10"/>
        <v>1.39000000000001</v>
      </c>
      <c r="BP17" s="76">
        <f t="shared" si="35"/>
        <v>87.0085180797653</v>
      </c>
      <c r="BQ17" s="77">
        <f t="shared" si="11"/>
        <v>0.797458506224066</v>
      </c>
      <c r="BR17" s="77">
        <f t="shared" si="12"/>
        <v>0.193529564315353</v>
      </c>
      <c r="BS17" s="77">
        <f t="shared" si="13"/>
        <v>0.00901192946058101</v>
      </c>
    </row>
    <row r="18" s="24" customFormat="1" ht="30" customHeight="1" spans="1:16384">
      <c r="A18" s="36" t="s">
        <v>67</v>
      </c>
      <c r="B18" s="41">
        <v>11683</v>
      </c>
      <c r="C18" s="41" t="s">
        <v>54</v>
      </c>
      <c r="D18" s="42">
        <f t="shared" si="42"/>
        <v>18</v>
      </c>
      <c r="E18" s="41">
        <f t="shared" si="14"/>
        <v>210294</v>
      </c>
      <c r="F18" s="41">
        <f t="shared" si="1"/>
        <v>338720</v>
      </c>
      <c r="G18" s="35">
        <v>7010</v>
      </c>
      <c r="H18" s="35">
        <f t="shared" si="2"/>
        <v>140200</v>
      </c>
      <c r="I18" s="35">
        <v>4963</v>
      </c>
      <c r="J18" s="35">
        <f t="shared" si="3"/>
        <v>198520</v>
      </c>
      <c r="K18" s="35">
        <f t="shared" si="15"/>
        <v>1749860</v>
      </c>
      <c r="L18" s="57">
        <v>0.279353159664412</v>
      </c>
      <c r="M18" s="35">
        <f t="shared" si="4"/>
        <v>488828.919970368</v>
      </c>
      <c r="N18" s="35">
        <v>11106</v>
      </c>
      <c r="O18" s="35">
        <f t="shared" si="16"/>
        <v>199908</v>
      </c>
      <c r="P18" s="35">
        <v>1911</v>
      </c>
      <c r="Q18" s="35">
        <f t="shared" si="5"/>
        <v>114660</v>
      </c>
      <c r="R18" s="35">
        <v>24</v>
      </c>
      <c r="S18" s="35">
        <f t="shared" si="17"/>
        <v>8160</v>
      </c>
      <c r="T18" s="35">
        <v>42</v>
      </c>
      <c r="U18" s="35">
        <f t="shared" si="18"/>
        <v>11760</v>
      </c>
      <c r="V18" s="35">
        <v>207</v>
      </c>
      <c r="W18" s="35">
        <f t="shared" si="19"/>
        <v>28980</v>
      </c>
      <c r="X18" s="35">
        <v>315</v>
      </c>
      <c r="Y18" s="35">
        <f t="shared" si="20"/>
        <v>15750</v>
      </c>
      <c r="Z18" s="35">
        <v>45</v>
      </c>
      <c r="AA18" s="35">
        <f t="shared" si="21"/>
        <v>38700</v>
      </c>
      <c r="AB18" s="35">
        <v>21</v>
      </c>
      <c r="AC18" s="35">
        <f t="shared" ref="AC17:AC22" si="43">AB18*260</f>
        <v>5460</v>
      </c>
      <c r="AD18" s="35">
        <v>1278</v>
      </c>
      <c r="AE18" s="35">
        <f t="shared" si="36"/>
        <v>360396</v>
      </c>
      <c r="AF18" s="35">
        <v>1195</v>
      </c>
      <c r="AG18" s="35">
        <f t="shared" si="23"/>
        <v>47800</v>
      </c>
      <c r="AH18" s="35">
        <f t="shared" si="24"/>
        <v>7170</v>
      </c>
      <c r="AI18" s="35">
        <f t="shared" si="25"/>
        <v>250950</v>
      </c>
      <c r="AJ18" s="35">
        <f t="shared" si="26"/>
        <v>4780</v>
      </c>
      <c r="AK18" s="35">
        <f t="shared" si="27"/>
        <v>239000</v>
      </c>
      <c r="AL18" s="35">
        <v>144</v>
      </c>
      <c r="AM18" s="35">
        <f t="shared" si="28"/>
        <v>2880</v>
      </c>
      <c r="AN18" s="35">
        <v>387</v>
      </c>
      <c r="AO18" s="35">
        <f t="shared" si="29"/>
        <v>15480</v>
      </c>
      <c r="AP18" s="35">
        <f t="shared" si="6"/>
        <v>2322</v>
      </c>
      <c r="AQ18" s="35">
        <f t="shared" si="30"/>
        <v>81270</v>
      </c>
      <c r="AR18" s="35">
        <f t="shared" si="7"/>
        <v>1548</v>
      </c>
      <c r="AS18" s="35">
        <f t="shared" si="37"/>
        <v>77400</v>
      </c>
      <c r="AT18" s="35">
        <v>81</v>
      </c>
      <c r="AU18" s="35">
        <f t="shared" si="31"/>
        <v>1620</v>
      </c>
      <c r="AV18" s="35">
        <v>72</v>
      </c>
      <c r="AW18" s="35">
        <f t="shared" si="38"/>
        <v>102960</v>
      </c>
      <c r="AX18" s="35">
        <v>4</v>
      </c>
      <c r="AY18" s="35">
        <f t="shared" si="32"/>
        <v>8736</v>
      </c>
      <c r="AZ18" s="35">
        <v>67</v>
      </c>
      <c r="BA18" s="35">
        <f t="shared" si="33"/>
        <v>32830</v>
      </c>
      <c r="BB18" s="35">
        <v>1700</v>
      </c>
      <c r="BC18" s="35">
        <f t="shared" si="40"/>
        <v>34000</v>
      </c>
      <c r="BD18" s="35">
        <v>593</v>
      </c>
      <c r="BE18" s="35">
        <f t="shared" si="39"/>
        <v>71160</v>
      </c>
      <c r="BF18" s="35">
        <f t="shared" si="8"/>
        <v>52573.5</v>
      </c>
      <c r="BG18" s="68">
        <f t="shared" si="9"/>
        <v>109.041641997037</v>
      </c>
      <c r="BH18" s="69">
        <v>109.04</v>
      </c>
      <c r="BI18" s="42">
        <v>99.64</v>
      </c>
      <c r="BJ18" s="70">
        <v>82</v>
      </c>
      <c r="BK18" s="71">
        <v>17.64</v>
      </c>
      <c r="BL18" s="69">
        <f t="shared" si="34"/>
        <v>9.40000000000001</v>
      </c>
      <c r="BM18" s="68">
        <v>5</v>
      </c>
      <c r="BN18" s="68">
        <v>0</v>
      </c>
      <c r="BO18" s="68">
        <f t="shared" si="10"/>
        <v>4.40000000000001</v>
      </c>
      <c r="BP18" s="76">
        <f t="shared" si="35"/>
        <v>93.3321920739536</v>
      </c>
      <c r="BQ18" s="77">
        <f t="shared" si="11"/>
        <v>0.797872340425532</v>
      </c>
      <c r="BR18" s="77">
        <f t="shared" si="12"/>
        <v>0.161775495231108</v>
      </c>
      <c r="BS18" s="77">
        <f t="shared" si="13"/>
        <v>0.0403521643433603</v>
      </c>
      <c r="XEW18" s="78"/>
      <c r="XEX18" s="78"/>
      <c r="XEY18" s="78"/>
      <c r="XEZ18" s="78"/>
      <c r="XFA18" s="78"/>
      <c r="XFB18" s="78"/>
      <c r="XFC18" s="78"/>
      <c r="XFD18" s="78"/>
    </row>
    <row r="19" s="24" customFormat="1" ht="30" customHeight="1" spans="1:16384">
      <c r="A19" s="36" t="s">
        <v>68</v>
      </c>
      <c r="B19" s="41">
        <v>21480</v>
      </c>
      <c r="C19" s="41" t="s">
        <v>54</v>
      </c>
      <c r="D19" s="42">
        <f t="shared" si="42"/>
        <v>18</v>
      </c>
      <c r="E19" s="41">
        <f t="shared" si="14"/>
        <v>386640</v>
      </c>
      <c r="F19" s="41">
        <f t="shared" si="1"/>
        <v>598800</v>
      </c>
      <c r="G19" s="35">
        <v>12888</v>
      </c>
      <c r="H19" s="35">
        <f t="shared" si="2"/>
        <v>257760</v>
      </c>
      <c r="I19" s="35">
        <v>8526</v>
      </c>
      <c r="J19" s="35">
        <f t="shared" si="3"/>
        <v>341040</v>
      </c>
      <c r="K19" s="35">
        <f t="shared" si="15"/>
        <v>3193364</v>
      </c>
      <c r="L19" s="57">
        <v>0.279353159664412</v>
      </c>
      <c r="M19" s="35">
        <f t="shared" si="4"/>
        <v>892076.323358585</v>
      </c>
      <c r="N19" s="35">
        <v>21657</v>
      </c>
      <c r="O19" s="35">
        <f t="shared" si="16"/>
        <v>389826</v>
      </c>
      <c r="P19" s="35">
        <v>3941</v>
      </c>
      <c r="Q19" s="35">
        <f t="shared" si="5"/>
        <v>236460</v>
      </c>
      <c r="R19" s="35">
        <v>60</v>
      </c>
      <c r="S19" s="35">
        <f t="shared" si="17"/>
        <v>20400</v>
      </c>
      <c r="T19" s="35">
        <v>107</v>
      </c>
      <c r="U19" s="35">
        <f t="shared" si="18"/>
        <v>29960</v>
      </c>
      <c r="V19" s="35">
        <v>445</v>
      </c>
      <c r="W19" s="35">
        <f t="shared" si="19"/>
        <v>62300</v>
      </c>
      <c r="X19" s="35">
        <v>593</v>
      </c>
      <c r="Y19" s="35">
        <f t="shared" si="20"/>
        <v>29650</v>
      </c>
      <c r="Z19" s="35">
        <v>108</v>
      </c>
      <c r="AA19" s="35">
        <f t="shared" si="21"/>
        <v>92880</v>
      </c>
      <c r="AB19" s="35">
        <v>54</v>
      </c>
      <c r="AC19" s="35">
        <f t="shared" si="43"/>
        <v>14040</v>
      </c>
      <c r="AD19" s="35">
        <v>2349</v>
      </c>
      <c r="AE19" s="35">
        <f t="shared" si="36"/>
        <v>662418</v>
      </c>
      <c r="AF19" s="35">
        <v>1912</v>
      </c>
      <c r="AG19" s="35">
        <f t="shared" si="23"/>
        <v>76480</v>
      </c>
      <c r="AH19" s="35">
        <f t="shared" si="24"/>
        <v>11472</v>
      </c>
      <c r="AI19" s="35">
        <f t="shared" si="25"/>
        <v>401520</v>
      </c>
      <c r="AJ19" s="35">
        <f t="shared" si="26"/>
        <v>7648</v>
      </c>
      <c r="AK19" s="35">
        <f t="shared" si="27"/>
        <v>382400</v>
      </c>
      <c r="AL19" s="35">
        <v>181</v>
      </c>
      <c r="AM19" s="35">
        <f t="shared" si="28"/>
        <v>3620</v>
      </c>
      <c r="AN19" s="35">
        <v>739</v>
      </c>
      <c r="AO19" s="35">
        <f t="shared" si="29"/>
        <v>29560</v>
      </c>
      <c r="AP19" s="35">
        <f t="shared" si="6"/>
        <v>4434</v>
      </c>
      <c r="AQ19" s="35">
        <f t="shared" si="30"/>
        <v>155190</v>
      </c>
      <c r="AR19" s="35">
        <f t="shared" si="7"/>
        <v>2956</v>
      </c>
      <c r="AS19" s="35">
        <f t="shared" si="37"/>
        <v>147800</v>
      </c>
      <c r="AT19" s="35">
        <v>107</v>
      </c>
      <c r="AU19" s="35">
        <f t="shared" si="31"/>
        <v>2140</v>
      </c>
      <c r="AV19" s="35">
        <v>176</v>
      </c>
      <c r="AW19" s="35">
        <f t="shared" si="38"/>
        <v>251680</v>
      </c>
      <c r="AX19" s="35">
        <v>10</v>
      </c>
      <c r="AY19" s="35">
        <f t="shared" si="32"/>
        <v>21840</v>
      </c>
      <c r="AZ19" s="35">
        <v>104</v>
      </c>
      <c r="BA19" s="35">
        <f t="shared" si="33"/>
        <v>50960</v>
      </c>
      <c r="BB19" s="35">
        <v>1398</v>
      </c>
      <c r="BC19" s="35">
        <f t="shared" si="40"/>
        <v>27960</v>
      </c>
      <c r="BD19" s="35">
        <v>869</v>
      </c>
      <c r="BE19" s="35">
        <f t="shared" si="39"/>
        <v>104280</v>
      </c>
      <c r="BF19" s="35">
        <f t="shared" si="8"/>
        <v>96660</v>
      </c>
      <c r="BG19" s="68">
        <f t="shared" si="9"/>
        <v>197.417632335859</v>
      </c>
      <c r="BH19" s="68">
        <v>197.42</v>
      </c>
      <c r="BI19" s="42">
        <v>168.5</v>
      </c>
      <c r="BJ19" s="70">
        <v>143</v>
      </c>
      <c r="BK19" s="71">
        <v>25.5</v>
      </c>
      <c r="BL19" s="69">
        <f t="shared" si="34"/>
        <v>28.92</v>
      </c>
      <c r="BM19" s="68">
        <v>15</v>
      </c>
      <c r="BN19" s="68">
        <v>3</v>
      </c>
      <c r="BO19" s="68">
        <f t="shared" si="10"/>
        <v>10.92</v>
      </c>
      <c r="BP19" s="76">
        <f t="shared" si="35"/>
        <v>91.9087523277467</v>
      </c>
      <c r="BQ19" s="77">
        <f t="shared" si="11"/>
        <v>0.800324181947118</v>
      </c>
      <c r="BR19" s="77">
        <f t="shared" si="12"/>
        <v>0.144362273325904</v>
      </c>
      <c r="BS19" s="77">
        <f t="shared" si="13"/>
        <v>0.055313544726978</v>
      </c>
      <c r="XEW19" s="78"/>
      <c r="XEX19" s="78"/>
      <c r="XEY19" s="78"/>
      <c r="XEZ19" s="78"/>
      <c r="XFA19" s="78"/>
      <c r="XFB19" s="78"/>
      <c r="XFC19" s="78"/>
      <c r="XFD19" s="78"/>
    </row>
    <row r="20" s="24" customFormat="1" ht="30" customHeight="1" spans="1:16384">
      <c r="A20" s="36" t="s">
        <v>69</v>
      </c>
      <c r="B20" s="41">
        <v>5290</v>
      </c>
      <c r="C20" s="41" t="s">
        <v>70</v>
      </c>
      <c r="D20" s="42">
        <f t="shared" ref="D20:D22" si="44">90*0.35</f>
        <v>31.5</v>
      </c>
      <c r="E20" s="41">
        <f t="shared" si="14"/>
        <v>166635</v>
      </c>
      <c r="F20" s="41">
        <f t="shared" si="1"/>
        <v>186800</v>
      </c>
      <c r="G20" s="35">
        <v>3174</v>
      </c>
      <c r="H20" s="35">
        <f t="shared" si="2"/>
        <v>63480</v>
      </c>
      <c r="I20" s="35">
        <v>3083</v>
      </c>
      <c r="J20" s="35">
        <f t="shared" si="3"/>
        <v>123320</v>
      </c>
      <c r="K20" s="35">
        <f t="shared" si="15"/>
        <v>638394</v>
      </c>
      <c r="L20" s="57">
        <v>0.279353159664412</v>
      </c>
      <c r="M20" s="35">
        <f t="shared" si="4"/>
        <v>178337.381010803</v>
      </c>
      <c r="N20" s="35">
        <v>5010</v>
      </c>
      <c r="O20" s="35">
        <f t="shared" si="16"/>
        <v>90180</v>
      </c>
      <c r="P20" s="35">
        <v>222</v>
      </c>
      <c r="Q20" s="35">
        <f t="shared" si="5"/>
        <v>13320</v>
      </c>
      <c r="R20" s="35">
        <v>9</v>
      </c>
      <c r="S20" s="35">
        <f t="shared" si="17"/>
        <v>3060</v>
      </c>
      <c r="T20" s="35">
        <v>17</v>
      </c>
      <c r="U20" s="35">
        <f t="shared" si="18"/>
        <v>4760</v>
      </c>
      <c r="V20" s="35">
        <v>59</v>
      </c>
      <c r="W20" s="35">
        <f t="shared" si="19"/>
        <v>8260</v>
      </c>
      <c r="X20" s="35">
        <v>65</v>
      </c>
      <c r="Y20" s="35">
        <f t="shared" si="20"/>
        <v>3250</v>
      </c>
      <c r="Z20" s="35">
        <v>16</v>
      </c>
      <c r="AA20" s="35">
        <f t="shared" si="21"/>
        <v>13760</v>
      </c>
      <c r="AB20" s="35">
        <v>8</v>
      </c>
      <c r="AC20" s="35">
        <f t="shared" si="43"/>
        <v>2080</v>
      </c>
      <c r="AD20" s="35">
        <v>476</v>
      </c>
      <c r="AE20" s="35">
        <f t="shared" si="36"/>
        <v>134232</v>
      </c>
      <c r="AF20" s="35">
        <v>551</v>
      </c>
      <c r="AG20" s="35">
        <f t="shared" si="23"/>
        <v>22040</v>
      </c>
      <c r="AH20" s="35">
        <f t="shared" si="24"/>
        <v>3306</v>
      </c>
      <c r="AI20" s="35">
        <f t="shared" si="25"/>
        <v>115710</v>
      </c>
      <c r="AJ20" s="35">
        <f t="shared" si="26"/>
        <v>2204</v>
      </c>
      <c r="AK20" s="35">
        <f t="shared" si="27"/>
        <v>110200</v>
      </c>
      <c r="AL20" s="35">
        <v>60</v>
      </c>
      <c r="AM20" s="35">
        <f t="shared" si="28"/>
        <v>1200</v>
      </c>
      <c r="AN20" s="35">
        <v>85</v>
      </c>
      <c r="AO20" s="35">
        <f t="shared" si="29"/>
        <v>3400</v>
      </c>
      <c r="AP20" s="35">
        <f t="shared" si="6"/>
        <v>510</v>
      </c>
      <c r="AQ20" s="35">
        <f t="shared" si="30"/>
        <v>17850</v>
      </c>
      <c r="AR20" s="35">
        <f t="shared" si="7"/>
        <v>340</v>
      </c>
      <c r="AS20" s="35">
        <f t="shared" si="37"/>
        <v>17000</v>
      </c>
      <c r="AT20" s="35">
        <v>24</v>
      </c>
      <c r="AU20" s="35">
        <f t="shared" si="31"/>
        <v>480</v>
      </c>
      <c r="AV20" s="35">
        <v>29</v>
      </c>
      <c r="AW20" s="35">
        <f t="shared" si="38"/>
        <v>41470</v>
      </c>
      <c r="AX20" s="35">
        <v>3</v>
      </c>
      <c r="AY20" s="35">
        <f t="shared" si="32"/>
        <v>6552</v>
      </c>
      <c r="AZ20" s="35">
        <v>31</v>
      </c>
      <c r="BA20" s="35">
        <f t="shared" si="33"/>
        <v>15190</v>
      </c>
      <c r="BB20" s="35">
        <v>120</v>
      </c>
      <c r="BC20" s="35">
        <f t="shared" si="40"/>
        <v>2400</v>
      </c>
      <c r="BD20" s="35">
        <v>100</v>
      </c>
      <c r="BE20" s="35">
        <f t="shared" si="39"/>
        <v>12000</v>
      </c>
      <c r="BF20" s="35">
        <f t="shared" si="8"/>
        <v>23805</v>
      </c>
      <c r="BG20" s="68">
        <f t="shared" si="9"/>
        <v>55.5577381010803</v>
      </c>
      <c r="BH20" s="69">
        <v>55.56</v>
      </c>
      <c r="BI20" s="42">
        <v>46.33</v>
      </c>
      <c r="BJ20" s="70">
        <v>37</v>
      </c>
      <c r="BK20" s="71">
        <v>9.33</v>
      </c>
      <c r="BL20" s="69">
        <f t="shared" si="34"/>
        <v>9.23</v>
      </c>
      <c r="BM20" s="68">
        <v>7</v>
      </c>
      <c r="BN20" s="68">
        <v>0</v>
      </c>
      <c r="BO20" s="68">
        <f t="shared" si="10"/>
        <v>2.23</v>
      </c>
      <c r="BP20" s="76">
        <f t="shared" si="35"/>
        <v>105.028355387524</v>
      </c>
      <c r="BQ20" s="77">
        <f t="shared" si="11"/>
        <v>0.791936645068394</v>
      </c>
      <c r="BR20" s="77">
        <f t="shared" si="12"/>
        <v>0.16792656587473</v>
      </c>
      <c r="BS20" s="77">
        <f t="shared" si="13"/>
        <v>0.0401367890568755</v>
      </c>
      <c r="XEW20" s="78"/>
      <c r="XEX20" s="78"/>
      <c r="XEY20" s="78"/>
      <c r="XEZ20" s="78"/>
      <c r="XFA20" s="78"/>
      <c r="XFB20" s="78"/>
      <c r="XFC20" s="78"/>
      <c r="XFD20" s="78"/>
    </row>
    <row r="21" s="24" customFormat="1" ht="30" customHeight="1" spans="1:16384">
      <c r="A21" s="36" t="s">
        <v>71</v>
      </c>
      <c r="B21" s="41">
        <v>7335</v>
      </c>
      <c r="C21" s="41" t="s">
        <v>70</v>
      </c>
      <c r="D21" s="42">
        <f t="shared" si="44"/>
        <v>31.5</v>
      </c>
      <c r="E21" s="41">
        <f t="shared" si="14"/>
        <v>231052.5</v>
      </c>
      <c r="F21" s="41">
        <f t="shared" si="1"/>
        <v>244140</v>
      </c>
      <c r="G21" s="35">
        <v>4401</v>
      </c>
      <c r="H21" s="35">
        <f t="shared" si="2"/>
        <v>88020</v>
      </c>
      <c r="I21" s="35">
        <v>3903</v>
      </c>
      <c r="J21" s="35">
        <f t="shared" si="3"/>
        <v>156120</v>
      </c>
      <c r="K21" s="35">
        <f t="shared" si="15"/>
        <v>735066</v>
      </c>
      <c r="L21" s="57">
        <v>0.279353159664412</v>
      </c>
      <c r="M21" s="35">
        <f t="shared" si="4"/>
        <v>205343.009661881</v>
      </c>
      <c r="N21" s="35">
        <v>7031</v>
      </c>
      <c r="O21" s="35">
        <f t="shared" si="16"/>
        <v>126558</v>
      </c>
      <c r="P21" s="35">
        <v>372</v>
      </c>
      <c r="Q21" s="35">
        <f t="shared" si="5"/>
        <v>22320</v>
      </c>
      <c r="R21" s="35">
        <v>12</v>
      </c>
      <c r="S21" s="35">
        <f t="shared" si="17"/>
        <v>4080</v>
      </c>
      <c r="T21" s="35">
        <v>17</v>
      </c>
      <c r="U21" s="35">
        <f t="shared" si="18"/>
        <v>4760</v>
      </c>
      <c r="V21" s="35">
        <v>43</v>
      </c>
      <c r="W21" s="35">
        <f t="shared" si="19"/>
        <v>6020</v>
      </c>
      <c r="X21" s="35">
        <v>90</v>
      </c>
      <c r="Y21" s="35">
        <f t="shared" si="20"/>
        <v>4500</v>
      </c>
      <c r="Z21" s="35">
        <v>18</v>
      </c>
      <c r="AA21" s="35">
        <f t="shared" si="21"/>
        <v>15480</v>
      </c>
      <c r="AB21" s="35">
        <v>10</v>
      </c>
      <c r="AC21" s="35">
        <f t="shared" si="43"/>
        <v>2600</v>
      </c>
      <c r="AD21" s="35">
        <v>585</v>
      </c>
      <c r="AE21" s="35">
        <f t="shared" si="36"/>
        <v>164970</v>
      </c>
      <c r="AF21" s="35">
        <v>538</v>
      </c>
      <c r="AG21" s="35">
        <f t="shared" si="23"/>
        <v>21520</v>
      </c>
      <c r="AH21" s="35">
        <f t="shared" si="24"/>
        <v>3228</v>
      </c>
      <c r="AI21" s="35">
        <f t="shared" si="25"/>
        <v>112980</v>
      </c>
      <c r="AJ21" s="35">
        <f t="shared" si="26"/>
        <v>2152</v>
      </c>
      <c r="AK21" s="35">
        <f t="shared" si="27"/>
        <v>107600</v>
      </c>
      <c r="AL21" s="35">
        <v>59</v>
      </c>
      <c r="AM21" s="35">
        <f t="shared" si="28"/>
        <v>1180</v>
      </c>
      <c r="AN21" s="35">
        <v>90</v>
      </c>
      <c r="AO21" s="35">
        <f t="shared" si="29"/>
        <v>3600</v>
      </c>
      <c r="AP21" s="35">
        <f t="shared" si="6"/>
        <v>540</v>
      </c>
      <c r="AQ21" s="35">
        <f t="shared" si="30"/>
        <v>18900</v>
      </c>
      <c r="AR21" s="35">
        <f t="shared" si="7"/>
        <v>360</v>
      </c>
      <c r="AS21" s="35">
        <f t="shared" si="37"/>
        <v>18000</v>
      </c>
      <c r="AT21" s="35">
        <v>16</v>
      </c>
      <c r="AU21" s="35">
        <f t="shared" si="31"/>
        <v>320</v>
      </c>
      <c r="AV21" s="35">
        <v>46</v>
      </c>
      <c r="AW21" s="35">
        <f t="shared" si="38"/>
        <v>65780</v>
      </c>
      <c r="AX21" s="35">
        <v>2</v>
      </c>
      <c r="AY21" s="35">
        <f t="shared" si="32"/>
        <v>4368</v>
      </c>
      <c r="AZ21" s="35">
        <v>15</v>
      </c>
      <c r="BA21" s="35">
        <f t="shared" si="33"/>
        <v>7350</v>
      </c>
      <c r="BB21" s="35">
        <v>389</v>
      </c>
      <c r="BC21" s="35">
        <f t="shared" si="40"/>
        <v>7780</v>
      </c>
      <c r="BD21" s="35">
        <v>120</v>
      </c>
      <c r="BE21" s="35">
        <f t="shared" si="39"/>
        <v>14400</v>
      </c>
      <c r="BF21" s="35">
        <f t="shared" si="8"/>
        <v>33007.5</v>
      </c>
      <c r="BG21" s="68">
        <f t="shared" si="9"/>
        <v>71.3543009661881</v>
      </c>
      <c r="BH21" s="69">
        <v>71.35</v>
      </c>
      <c r="BI21" s="42">
        <v>50.75</v>
      </c>
      <c r="BJ21" s="70">
        <v>45</v>
      </c>
      <c r="BK21" s="71">
        <v>5.75000000000001</v>
      </c>
      <c r="BL21" s="69">
        <f t="shared" si="34"/>
        <v>20.6</v>
      </c>
      <c r="BM21" s="68">
        <v>12</v>
      </c>
      <c r="BN21" s="68">
        <v>5</v>
      </c>
      <c r="BO21" s="68">
        <f t="shared" si="10"/>
        <v>3.59999999999999</v>
      </c>
      <c r="BP21" s="76">
        <f t="shared" si="35"/>
        <v>97.2733469665985</v>
      </c>
      <c r="BQ21" s="77">
        <f t="shared" si="11"/>
        <v>0.798878766643308</v>
      </c>
      <c r="BR21" s="77">
        <f t="shared" si="12"/>
        <v>0.150665732305536</v>
      </c>
      <c r="BS21" s="77">
        <f t="shared" si="13"/>
        <v>0.0504555010511562</v>
      </c>
      <c r="XEW21" s="78"/>
      <c r="XEX21" s="78"/>
      <c r="XEY21" s="78"/>
      <c r="XEZ21" s="78"/>
      <c r="XFA21" s="78"/>
      <c r="XFB21" s="78"/>
      <c r="XFC21" s="78"/>
      <c r="XFD21" s="78"/>
    </row>
    <row r="22" s="24" customFormat="1" ht="30" customHeight="1" spans="1:16384">
      <c r="A22" s="36" t="s">
        <v>72</v>
      </c>
      <c r="B22" s="41">
        <v>4422</v>
      </c>
      <c r="C22" s="41" t="s">
        <v>70</v>
      </c>
      <c r="D22" s="42">
        <f t="shared" si="44"/>
        <v>31.5</v>
      </c>
      <c r="E22" s="41">
        <f t="shared" si="14"/>
        <v>139293</v>
      </c>
      <c r="F22" s="41">
        <f t="shared" si="1"/>
        <v>183240</v>
      </c>
      <c r="G22" s="35">
        <v>3054</v>
      </c>
      <c r="H22" s="35">
        <f t="shared" si="2"/>
        <v>61080</v>
      </c>
      <c r="I22" s="35">
        <v>3054</v>
      </c>
      <c r="J22" s="35">
        <f t="shared" si="3"/>
        <v>122160</v>
      </c>
      <c r="K22" s="35">
        <f t="shared" si="15"/>
        <v>628726</v>
      </c>
      <c r="L22" s="57">
        <v>0.279353159664412</v>
      </c>
      <c r="M22" s="35">
        <f t="shared" si="4"/>
        <v>175636.594663167</v>
      </c>
      <c r="N22" s="35">
        <v>4160</v>
      </c>
      <c r="O22" s="35">
        <f t="shared" si="16"/>
        <v>74880</v>
      </c>
      <c r="P22" s="35">
        <v>592</v>
      </c>
      <c r="Q22" s="35">
        <f t="shared" si="5"/>
        <v>35520</v>
      </c>
      <c r="R22" s="35">
        <v>7</v>
      </c>
      <c r="S22" s="35">
        <f t="shared" si="17"/>
        <v>2380</v>
      </c>
      <c r="T22" s="35">
        <v>11</v>
      </c>
      <c r="U22" s="35">
        <f t="shared" si="18"/>
        <v>3080</v>
      </c>
      <c r="V22" s="35">
        <v>42</v>
      </c>
      <c r="W22" s="35">
        <f t="shared" si="19"/>
        <v>5880</v>
      </c>
      <c r="X22" s="35">
        <v>70</v>
      </c>
      <c r="Y22" s="35">
        <f t="shared" si="20"/>
        <v>3500</v>
      </c>
      <c r="Z22" s="35">
        <v>12</v>
      </c>
      <c r="AA22" s="35">
        <f t="shared" si="21"/>
        <v>10320</v>
      </c>
      <c r="AB22" s="35">
        <v>7</v>
      </c>
      <c r="AC22" s="35">
        <f t="shared" si="43"/>
        <v>1820</v>
      </c>
      <c r="AD22" s="35">
        <v>398</v>
      </c>
      <c r="AE22" s="35">
        <f t="shared" si="36"/>
        <v>112236</v>
      </c>
      <c r="AF22" s="35">
        <v>507</v>
      </c>
      <c r="AG22" s="35">
        <f t="shared" si="23"/>
        <v>20280</v>
      </c>
      <c r="AH22" s="35">
        <f t="shared" si="24"/>
        <v>3042</v>
      </c>
      <c r="AI22" s="35">
        <f t="shared" si="25"/>
        <v>106470</v>
      </c>
      <c r="AJ22" s="35">
        <f t="shared" si="26"/>
        <v>2028</v>
      </c>
      <c r="AK22" s="35">
        <f t="shared" si="27"/>
        <v>101400</v>
      </c>
      <c r="AL22" s="35">
        <v>48</v>
      </c>
      <c r="AM22" s="35">
        <f t="shared" si="28"/>
        <v>960</v>
      </c>
      <c r="AN22" s="35">
        <v>139</v>
      </c>
      <c r="AO22" s="35">
        <f t="shared" si="29"/>
        <v>5560</v>
      </c>
      <c r="AP22" s="35">
        <f t="shared" si="6"/>
        <v>834</v>
      </c>
      <c r="AQ22" s="35">
        <f t="shared" si="30"/>
        <v>29190</v>
      </c>
      <c r="AR22" s="35">
        <f t="shared" si="7"/>
        <v>556</v>
      </c>
      <c r="AS22" s="35">
        <f t="shared" si="37"/>
        <v>27800</v>
      </c>
      <c r="AT22" s="35">
        <v>25</v>
      </c>
      <c r="AU22" s="35">
        <f t="shared" si="31"/>
        <v>500</v>
      </c>
      <c r="AV22" s="35">
        <v>37</v>
      </c>
      <c r="AW22" s="35">
        <f t="shared" si="38"/>
        <v>52910</v>
      </c>
      <c r="AX22" s="35">
        <v>0</v>
      </c>
      <c r="AY22" s="35">
        <f t="shared" si="32"/>
        <v>0</v>
      </c>
      <c r="AZ22" s="35">
        <v>18</v>
      </c>
      <c r="BA22" s="35">
        <f t="shared" si="33"/>
        <v>8820</v>
      </c>
      <c r="BB22" s="35">
        <v>667</v>
      </c>
      <c r="BC22" s="35">
        <f t="shared" si="40"/>
        <v>13340</v>
      </c>
      <c r="BD22" s="35">
        <v>99</v>
      </c>
      <c r="BE22" s="35">
        <f t="shared" si="39"/>
        <v>11880</v>
      </c>
      <c r="BF22" s="35">
        <f t="shared" si="8"/>
        <v>19899</v>
      </c>
      <c r="BG22" s="68">
        <f t="shared" si="9"/>
        <v>51.8068594663167</v>
      </c>
      <c r="BH22" s="68">
        <v>51.8</v>
      </c>
      <c r="BI22" s="42">
        <v>39</v>
      </c>
      <c r="BJ22" s="70">
        <v>32</v>
      </c>
      <c r="BK22" s="71">
        <v>7.00000000000001</v>
      </c>
      <c r="BL22" s="69">
        <f t="shared" si="34"/>
        <v>12.8</v>
      </c>
      <c r="BM22" s="68">
        <v>9</v>
      </c>
      <c r="BN22" s="68">
        <v>1</v>
      </c>
      <c r="BO22" s="68">
        <f t="shared" si="10"/>
        <v>2.8</v>
      </c>
      <c r="BP22" s="76">
        <f t="shared" si="35"/>
        <v>117.141564902759</v>
      </c>
      <c r="BQ22" s="77">
        <f t="shared" si="11"/>
        <v>0.791505791505792</v>
      </c>
      <c r="BR22" s="77">
        <f t="shared" si="12"/>
        <v>0.154440154440155</v>
      </c>
      <c r="BS22" s="77">
        <f t="shared" si="13"/>
        <v>0.054054054054054</v>
      </c>
      <c r="XEW22" s="78"/>
      <c r="XEX22" s="78"/>
      <c r="XEY22" s="78"/>
      <c r="XEZ22" s="78"/>
      <c r="XFA22" s="78"/>
      <c r="XFB22" s="78"/>
      <c r="XFC22" s="78"/>
      <c r="XFD22" s="78"/>
    </row>
    <row r="23" s="24" customFormat="1" ht="30" customHeight="1" spans="1:16384">
      <c r="A23" s="36" t="s">
        <v>73</v>
      </c>
      <c r="B23" s="41">
        <f t="shared" ref="B23:K23" si="45">SUM(B6:B22)</f>
        <v>439200</v>
      </c>
      <c r="C23" s="41"/>
      <c r="D23" s="42"/>
      <c r="E23" s="43">
        <f t="shared" si="45"/>
        <v>8069962.5</v>
      </c>
      <c r="F23" s="43">
        <f t="shared" si="45"/>
        <v>12189140</v>
      </c>
      <c r="G23" s="35">
        <f t="shared" si="45"/>
        <v>263919</v>
      </c>
      <c r="H23" s="35">
        <f t="shared" si="45"/>
        <v>5278380</v>
      </c>
      <c r="I23" s="35">
        <f t="shared" si="45"/>
        <v>172769</v>
      </c>
      <c r="J23" s="35">
        <f t="shared" si="45"/>
        <v>6910760</v>
      </c>
      <c r="K23" s="35">
        <f t="shared" si="45"/>
        <v>61901922</v>
      </c>
      <c r="L23" s="57">
        <v>0.279353159664412</v>
      </c>
      <c r="M23" s="34">
        <f t="shared" ref="M23:X23" si="46">SUM(M6:M22)</f>
        <v>17292497.5</v>
      </c>
      <c r="N23" s="35">
        <f t="shared" si="46"/>
        <v>424350</v>
      </c>
      <c r="O23" s="35">
        <f t="shared" si="46"/>
        <v>7638300</v>
      </c>
      <c r="P23" s="35">
        <f t="shared" si="46"/>
        <v>82380</v>
      </c>
      <c r="Q23" s="35">
        <f t="shared" si="46"/>
        <v>4942800</v>
      </c>
      <c r="R23" s="35">
        <f t="shared" si="46"/>
        <v>1294</v>
      </c>
      <c r="S23" s="35">
        <f t="shared" si="46"/>
        <v>439960</v>
      </c>
      <c r="T23" s="35">
        <f t="shared" si="46"/>
        <v>2526</v>
      </c>
      <c r="U23" s="35">
        <f t="shared" si="46"/>
        <v>707280</v>
      </c>
      <c r="V23" s="35">
        <f t="shared" si="46"/>
        <v>9258</v>
      </c>
      <c r="W23" s="35">
        <f t="shared" si="46"/>
        <v>1296120</v>
      </c>
      <c r="X23" s="35">
        <f t="shared" si="46"/>
        <v>12733</v>
      </c>
      <c r="Y23" s="35">
        <f t="shared" ref="X23:BH23" si="47">SUM(Y6:Y22)</f>
        <v>636650</v>
      </c>
      <c r="Z23" s="35">
        <f t="shared" si="47"/>
        <v>2805</v>
      </c>
      <c r="AA23" s="35">
        <f t="shared" si="47"/>
        <v>2412300</v>
      </c>
      <c r="AB23" s="35">
        <f t="shared" si="47"/>
        <v>1274</v>
      </c>
      <c r="AC23" s="35">
        <f t="shared" si="47"/>
        <v>331240</v>
      </c>
      <c r="AD23" s="35">
        <f t="shared" si="47"/>
        <v>47268</v>
      </c>
      <c r="AE23" s="35">
        <f t="shared" si="47"/>
        <v>12019968</v>
      </c>
      <c r="AF23" s="35">
        <f t="shared" si="47"/>
        <v>38866</v>
      </c>
      <c r="AG23" s="35">
        <f t="shared" si="47"/>
        <v>1554640</v>
      </c>
      <c r="AH23" s="35">
        <f t="shared" si="47"/>
        <v>233196</v>
      </c>
      <c r="AI23" s="35">
        <f t="shared" si="47"/>
        <v>8161860</v>
      </c>
      <c r="AJ23" s="35">
        <f t="shared" si="47"/>
        <v>155464</v>
      </c>
      <c r="AK23" s="35">
        <f t="shared" si="47"/>
        <v>7136000</v>
      </c>
      <c r="AL23" s="35">
        <f t="shared" si="47"/>
        <v>5078</v>
      </c>
      <c r="AM23" s="35">
        <f t="shared" si="47"/>
        <v>101560</v>
      </c>
      <c r="AN23" s="35">
        <f t="shared" si="47"/>
        <v>13666</v>
      </c>
      <c r="AO23" s="35">
        <f t="shared" si="47"/>
        <v>546640</v>
      </c>
      <c r="AP23" s="35">
        <f t="shared" si="47"/>
        <v>81996</v>
      </c>
      <c r="AQ23" s="35">
        <f t="shared" si="47"/>
        <v>2869860</v>
      </c>
      <c r="AR23" s="35">
        <f t="shared" si="47"/>
        <v>54664</v>
      </c>
      <c r="AS23" s="35">
        <f t="shared" si="47"/>
        <v>2467000</v>
      </c>
      <c r="AT23" s="35">
        <f t="shared" si="47"/>
        <v>2592</v>
      </c>
      <c r="AU23" s="35">
        <f t="shared" si="47"/>
        <v>51840</v>
      </c>
      <c r="AV23" s="35">
        <f t="shared" si="47"/>
        <v>3032</v>
      </c>
      <c r="AW23" s="35">
        <f t="shared" si="47"/>
        <v>4335760</v>
      </c>
      <c r="AX23" s="35">
        <f t="shared" si="47"/>
        <v>106</v>
      </c>
      <c r="AY23" s="35">
        <f t="shared" si="47"/>
        <v>231504</v>
      </c>
      <c r="AZ23" s="35">
        <f t="shared" si="47"/>
        <v>1830</v>
      </c>
      <c r="BA23" s="35">
        <f t="shared" si="47"/>
        <v>896700</v>
      </c>
      <c r="BB23" s="35">
        <f t="shared" si="47"/>
        <v>39719</v>
      </c>
      <c r="BC23" s="35">
        <f t="shared" si="47"/>
        <v>794380</v>
      </c>
      <c r="BD23" s="35">
        <f t="shared" si="47"/>
        <v>19413</v>
      </c>
      <c r="BE23" s="35">
        <f t="shared" si="47"/>
        <v>2329560</v>
      </c>
      <c r="BF23" s="34">
        <f t="shared" si="47"/>
        <v>1976400</v>
      </c>
      <c r="BG23" s="68">
        <f t="shared" si="47"/>
        <v>3952.8</v>
      </c>
      <c r="BH23" s="72">
        <f t="shared" si="47"/>
        <v>3952.8</v>
      </c>
      <c r="BI23" s="42">
        <v>3459.49</v>
      </c>
      <c r="BJ23" s="70">
        <v>2909.26</v>
      </c>
      <c r="BK23" s="68">
        <v>550.23</v>
      </c>
      <c r="BL23" s="69">
        <f t="shared" ref="BL23:BO23" si="48">SUM(BL6:BL22)</f>
        <v>493.31</v>
      </c>
      <c r="BM23" s="69">
        <f t="shared" si="48"/>
        <v>252.98</v>
      </c>
      <c r="BN23" s="68">
        <f t="shared" si="48"/>
        <v>82.22</v>
      </c>
      <c r="BO23" s="68">
        <f t="shared" si="48"/>
        <v>158.11</v>
      </c>
      <c r="BP23" s="76">
        <f t="shared" si="35"/>
        <v>90</v>
      </c>
      <c r="BQ23" s="77">
        <f t="shared" si="11"/>
        <v>0.8</v>
      </c>
      <c r="BR23" s="77">
        <f t="shared" si="12"/>
        <v>0.160000505970451</v>
      </c>
      <c r="BS23" s="77">
        <f t="shared" si="13"/>
        <v>0.0399994940295487</v>
      </c>
      <c r="XEW23" s="78"/>
      <c r="XEX23" s="78"/>
      <c r="XEY23" s="78"/>
      <c r="XEZ23" s="78"/>
      <c r="XFA23" s="78"/>
      <c r="XFB23" s="78"/>
      <c r="XFC23" s="78"/>
      <c r="XFD23" s="78"/>
    </row>
    <row r="24" s="21" customFormat="1" ht="50" customHeight="1" spans="1:59">
      <c r="A24" s="44"/>
      <c r="B24" s="45"/>
      <c r="C24" s="45"/>
      <c r="D24" s="46"/>
      <c r="E24" s="45"/>
      <c r="F24" s="45"/>
      <c r="G24" s="47"/>
      <c r="H24" s="47"/>
      <c r="I24" s="47"/>
      <c r="J24" s="47"/>
      <c r="K24" s="47">
        <v>39528000</v>
      </c>
      <c r="L24" s="58">
        <f>(K24-E23-F23-BF23)/K23</f>
        <v>0.279353159664412</v>
      </c>
      <c r="M24" s="59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28"/>
    </row>
    <row r="25" s="21" customFormat="1" ht="54" customHeight="1" spans="1:68">
      <c r="A25" s="30" t="s">
        <v>74</v>
      </c>
      <c r="B25" s="30"/>
      <c r="C25" s="30"/>
      <c r="D25" s="30"/>
      <c r="E25" s="30"/>
      <c r="F25" s="30"/>
      <c r="G25" s="30"/>
      <c r="H25" s="30"/>
      <c r="I25" s="30"/>
      <c r="J25" s="30"/>
      <c r="K25" s="48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73"/>
      <c r="BH25" s="30"/>
      <c r="BI25" s="30"/>
      <c r="BJ25" s="30"/>
      <c r="BK25" s="30"/>
      <c r="BL25" s="30"/>
      <c r="BM25" s="30"/>
      <c r="BN25" s="30"/>
      <c r="BO25" s="30"/>
      <c r="BP25" s="30"/>
    </row>
    <row r="26" s="21" customFormat="1" ht="99" customHeight="1" spans="1:59">
      <c r="A26" s="30" t="s">
        <v>75</v>
      </c>
      <c r="B26" s="30"/>
      <c r="C26" s="30"/>
      <c r="D26" s="30"/>
      <c r="E26" s="30"/>
      <c r="F26" s="30"/>
      <c r="G26" s="30"/>
      <c r="H26" s="30"/>
      <c r="I26" s="30"/>
      <c r="J26" s="30"/>
      <c r="K26" s="4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28"/>
    </row>
    <row r="27" s="21" customFormat="1" ht="33" customHeight="1" spans="1:59">
      <c r="A27" s="48" t="s">
        <v>76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30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30"/>
      <c r="AX27" s="48"/>
      <c r="AY27" s="30"/>
      <c r="AZ27" s="48"/>
      <c r="BA27" s="48"/>
      <c r="BB27" s="48"/>
      <c r="BC27" s="48"/>
      <c r="BD27" s="48"/>
      <c r="BE27" s="48"/>
      <c r="BF27" s="48"/>
      <c r="BG27" s="28"/>
    </row>
    <row r="28" s="21" customFormat="1" ht="89" customHeight="1" spans="1:59">
      <c r="A28" s="30" t="s">
        <v>77</v>
      </c>
      <c r="B28" s="30"/>
      <c r="C28" s="30"/>
      <c r="D28" s="30"/>
      <c r="E28" s="30"/>
      <c r="F28" s="30"/>
      <c r="G28" s="30"/>
      <c r="H28" s="30"/>
      <c r="I28" s="30"/>
      <c r="J28" s="30"/>
      <c r="K28" s="4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28"/>
    </row>
    <row r="29" s="21" customFormat="1" ht="34" customHeight="1" spans="1:59">
      <c r="A29" s="49" t="s">
        <v>78</v>
      </c>
      <c r="B29" s="49"/>
      <c r="C29" s="49"/>
      <c r="D29" s="49"/>
      <c r="E29" s="49"/>
      <c r="F29" s="49"/>
      <c r="G29" s="49"/>
      <c r="H29" s="49"/>
      <c r="I29" s="49"/>
      <c r="J29" s="49"/>
      <c r="K29" s="60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28"/>
    </row>
    <row r="30" s="21" customFormat="1" ht="52" customHeight="1" spans="1:16384">
      <c r="A30" s="50" t="s">
        <v>79</v>
      </c>
      <c r="B30" s="50"/>
      <c r="C30" s="50"/>
      <c r="D30" s="50"/>
      <c r="E30" s="50"/>
      <c r="F30" s="50"/>
      <c r="G30" s="51"/>
      <c r="H30" s="51"/>
      <c r="I30" s="51"/>
      <c r="J30" s="61" t="s">
        <v>80</v>
      </c>
      <c r="K30" s="62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 t="s">
        <v>81</v>
      </c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28"/>
      <c r="XEW30" s="79"/>
      <c r="XEX30" s="79"/>
      <c r="XEY30" s="79"/>
      <c r="XEZ30" s="79"/>
      <c r="XFA30" s="79"/>
      <c r="XFB30" s="79"/>
      <c r="XFC30" s="79"/>
      <c r="XFD30" s="79"/>
    </row>
  </sheetData>
  <autoFilter xmlns:etc="http://www.wps.cn/officeDocument/2017/etCustomData" ref="A1:XFA30" etc:filterBottomFollowUsedRange="0">
    <extLst/>
  </autoFilter>
  <mergeCells count="50">
    <mergeCell ref="A1:BO1"/>
    <mergeCell ref="A2:J2"/>
    <mergeCell ref="AI2:BA2"/>
    <mergeCell ref="F3:J3"/>
    <mergeCell ref="K3:BE3"/>
    <mergeCell ref="BI3:BK3"/>
    <mergeCell ref="BL3:BO3"/>
    <mergeCell ref="G4:H4"/>
    <mergeCell ref="I4:J4"/>
    <mergeCell ref="K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A25:BO25"/>
    <mergeCell ref="A26:BF26"/>
    <mergeCell ref="A27:BF27"/>
    <mergeCell ref="A28:BF28"/>
    <mergeCell ref="A29:BF29"/>
    <mergeCell ref="A3:A5"/>
    <mergeCell ref="F4:F5"/>
    <mergeCell ref="BF3:BF5"/>
    <mergeCell ref="BG3:BG5"/>
    <mergeCell ref="BH3:BH5"/>
    <mergeCell ref="BI4:BI5"/>
    <mergeCell ref="BJ4:BJ5"/>
    <mergeCell ref="BK4:BK5"/>
    <mergeCell ref="BL4:BL5"/>
    <mergeCell ref="BM4:BM5"/>
    <mergeCell ref="BN4:BN5"/>
    <mergeCell ref="BO4:BO5"/>
    <mergeCell ref="B3:E4"/>
  </mergeCells>
  <printOptions horizontalCentered="1"/>
  <pageMargins left="0.0388888888888889" right="0.0388888888888889" top="0.393055555555556" bottom="0.393055555555556" header="0.5" footer="0.5"/>
  <pageSetup paperSize="8" scale="2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view="pageBreakPreview" zoomScaleNormal="100" workbookViewId="0">
      <pane xSplit="1" ySplit="2" topLeftCell="B47" activePane="bottomRight" state="frozen"/>
      <selection/>
      <selection pane="topRight"/>
      <selection pane="bottomLeft"/>
      <selection pane="bottomRight" activeCell="C62" sqref="C62"/>
    </sheetView>
  </sheetViews>
  <sheetFormatPr defaultColWidth="9" defaultRowHeight="15"/>
  <cols>
    <col min="1" max="1" width="30.25" style="5" customWidth="1"/>
    <col min="2" max="2" width="36.625" style="6" customWidth="1"/>
    <col min="3" max="3" width="12.625" style="6" customWidth="1"/>
    <col min="4" max="4" width="10.25" style="6" customWidth="1"/>
    <col min="5" max="5" width="18.375" style="6" customWidth="1"/>
    <col min="6" max="6" width="7.75" style="6" customWidth="1"/>
    <col min="7" max="7" width="7.375" style="6" customWidth="1"/>
    <col min="8" max="9" width="12.25" style="6" customWidth="1"/>
    <col min="10" max="10" width="14.875" style="7" customWidth="1"/>
    <col min="11" max="11" width="23.25" style="8" customWidth="1"/>
    <col min="12" max="16384" width="9" style="5"/>
  </cols>
  <sheetData>
    <row r="1" ht="31.5" customHeight="1" spans="1:10">
      <c r="A1" s="9" t="s">
        <v>82</v>
      </c>
      <c r="B1" s="9"/>
      <c r="C1" s="9"/>
      <c r="D1" s="9"/>
      <c r="E1" s="9"/>
      <c r="F1" s="9"/>
      <c r="G1" s="9"/>
      <c r="H1" s="9"/>
      <c r="I1" s="9"/>
      <c r="J1" s="9"/>
    </row>
    <row r="2" ht="37.4" customHeight="1" spans="1:10">
      <c r="A2" s="10" t="s">
        <v>83</v>
      </c>
      <c r="B2" s="10" t="s">
        <v>84</v>
      </c>
      <c r="C2" s="10" t="s">
        <v>85</v>
      </c>
      <c r="D2" s="10" t="s">
        <v>86</v>
      </c>
      <c r="E2" s="10"/>
      <c r="F2" s="10" t="s">
        <v>87</v>
      </c>
      <c r="G2" s="10" t="s">
        <v>88</v>
      </c>
      <c r="H2" s="11" t="s">
        <v>89</v>
      </c>
      <c r="I2" s="11" t="s">
        <v>90</v>
      </c>
      <c r="J2" s="19"/>
    </row>
    <row r="3" ht="20" customHeight="1" spans="1:10">
      <c r="A3" s="10" t="s">
        <v>91</v>
      </c>
      <c r="B3" s="10" t="s">
        <v>92</v>
      </c>
      <c r="C3" s="10" t="s">
        <v>93</v>
      </c>
      <c r="D3" s="12" t="s">
        <v>94</v>
      </c>
      <c r="E3" s="12"/>
      <c r="F3" s="13">
        <v>10</v>
      </c>
      <c r="G3" s="13">
        <v>1</v>
      </c>
      <c r="H3" s="13">
        <f t="shared" ref="H3:H22" si="0">F3*G3</f>
        <v>10</v>
      </c>
      <c r="I3" s="11">
        <f>H3+H4+H5</f>
        <v>18</v>
      </c>
      <c r="J3" s="19"/>
    </row>
    <row r="4" ht="20" customHeight="1" spans="1:10">
      <c r="A4" s="14"/>
      <c r="B4" s="10" t="s">
        <v>95</v>
      </c>
      <c r="C4" s="10" t="s">
        <v>93</v>
      </c>
      <c r="D4" s="12" t="s">
        <v>94</v>
      </c>
      <c r="E4" s="12"/>
      <c r="F4" s="13">
        <v>4</v>
      </c>
      <c r="G4" s="13">
        <v>1</v>
      </c>
      <c r="H4" s="13">
        <f t="shared" si="0"/>
        <v>4</v>
      </c>
      <c r="I4" s="11"/>
      <c r="J4" s="19"/>
    </row>
    <row r="5" ht="20" customHeight="1" spans="1:10">
      <c r="A5" s="14"/>
      <c r="B5" s="10" t="s">
        <v>96</v>
      </c>
      <c r="C5" s="10" t="s">
        <v>93</v>
      </c>
      <c r="D5" s="12" t="s">
        <v>94</v>
      </c>
      <c r="E5" s="12"/>
      <c r="F5" s="13">
        <v>4</v>
      </c>
      <c r="G5" s="13">
        <v>1</v>
      </c>
      <c r="H5" s="13">
        <f t="shared" si="0"/>
        <v>4</v>
      </c>
      <c r="I5" s="11"/>
      <c r="J5" s="19"/>
    </row>
    <row r="6" ht="20" customHeight="1" spans="1:10">
      <c r="A6" s="10" t="s">
        <v>97</v>
      </c>
      <c r="B6" s="10" t="s">
        <v>98</v>
      </c>
      <c r="C6" s="10" t="s">
        <v>99</v>
      </c>
      <c r="D6" s="12" t="s">
        <v>94</v>
      </c>
      <c r="E6" s="12"/>
      <c r="F6" s="13">
        <v>20</v>
      </c>
      <c r="G6" s="13">
        <v>1</v>
      </c>
      <c r="H6" s="13">
        <f t="shared" si="0"/>
        <v>20</v>
      </c>
      <c r="I6" s="11">
        <f>H6+H7</f>
        <v>60</v>
      </c>
      <c r="J6" s="19"/>
    </row>
    <row r="7" ht="20" customHeight="1" spans="1:10">
      <c r="A7" s="14"/>
      <c r="B7" s="10" t="s">
        <v>100</v>
      </c>
      <c r="C7" s="10" t="s">
        <v>101</v>
      </c>
      <c r="D7" s="12" t="s">
        <v>94</v>
      </c>
      <c r="E7" s="12"/>
      <c r="F7" s="13">
        <v>40</v>
      </c>
      <c r="G7" s="13">
        <v>1</v>
      </c>
      <c r="H7" s="13">
        <f t="shared" si="0"/>
        <v>40</v>
      </c>
      <c r="I7" s="11"/>
      <c r="J7" s="19"/>
    </row>
    <row r="8" ht="20" customHeight="1" spans="1:10">
      <c r="A8" s="11" t="s">
        <v>102</v>
      </c>
      <c r="B8" s="10" t="s">
        <v>103</v>
      </c>
      <c r="C8" s="10" t="s">
        <v>104</v>
      </c>
      <c r="D8" s="12" t="s">
        <v>94</v>
      </c>
      <c r="E8" s="12"/>
      <c r="F8" s="13">
        <v>260</v>
      </c>
      <c r="G8" s="13">
        <v>1</v>
      </c>
      <c r="H8" s="13">
        <f t="shared" si="0"/>
        <v>260</v>
      </c>
      <c r="I8" s="13">
        <f>H8+H9</f>
        <v>340</v>
      </c>
      <c r="J8" s="19"/>
    </row>
    <row r="9" ht="20" customHeight="1" spans="1:10">
      <c r="A9" s="11"/>
      <c r="B9" s="10" t="s">
        <v>105</v>
      </c>
      <c r="C9" s="15" t="s">
        <v>106</v>
      </c>
      <c r="D9" s="12" t="s">
        <v>94</v>
      </c>
      <c r="E9" s="12"/>
      <c r="F9" s="13">
        <v>80</v>
      </c>
      <c r="G9" s="13">
        <v>1</v>
      </c>
      <c r="H9" s="13">
        <f t="shared" si="0"/>
        <v>80</v>
      </c>
      <c r="I9" s="13"/>
      <c r="J9" s="19"/>
    </row>
    <row r="10" ht="20" customHeight="1" spans="1:10">
      <c r="A10" s="11" t="s">
        <v>107</v>
      </c>
      <c r="B10" s="10" t="s">
        <v>108</v>
      </c>
      <c r="C10" s="10" t="s">
        <v>109</v>
      </c>
      <c r="D10" s="10" t="s">
        <v>110</v>
      </c>
      <c r="E10" s="12" t="s">
        <v>111</v>
      </c>
      <c r="F10" s="13">
        <v>70</v>
      </c>
      <c r="G10" s="13">
        <v>4</v>
      </c>
      <c r="H10" s="13">
        <f t="shared" si="0"/>
        <v>280</v>
      </c>
      <c r="I10" s="13">
        <f>H10</f>
        <v>280</v>
      </c>
      <c r="J10" s="19"/>
    </row>
    <row r="11" ht="20" customHeight="1" spans="1:10">
      <c r="A11" s="11" t="s">
        <v>112</v>
      </c>
      <c r="B11" s="10" t="s">
        <v>113</v>
      </c>
      <c r="C11" s="10" t="s">
        <v>109</v>
      </c>
      <c r="D11" s="10"/>
      <c r="E11" s="10" t="s">
        <v>114</v>
      </c>
      <c r="F11" s="13">
        <v>70</v>
      </c>
      <c r="G11" s="13">
        <v>2</v>
      </c>
      <c r="H11" s="13">
        <f t="shared" si="0"/>
        <v>140</v>
      </c>
      <c r="I11" s="13">
        <f>H11</f>
        <v>140</v>
      </c>
      <c r="J11" s="19"/>
    </row>
    <row r="12" ht="20" customHeight="1" spans="1:10">
      <c r="A12" s="11" t="s">
        <v>115</v>
      </c>
      <c r="B12" s="10" t="s">
        <v>116</v>
      </c>
      <c r="C12" s="10" t="s">
        <v>109</v>
      </c>
      <c r="D12" s="10" t="s">
        <v>117</v>
      </c>
      <c r="E12" s="10"/>
      <c r="F12" s="13">
        <v>50</v>
      </c>
      <c r="G12" s="13">
        <v>1</v>
      </c>
      <c r="H12" s="13">
        <f t="shared" si="0"/>
        <v>50</v>
      </c>
      <c r="I12" s="13">
        <f>H12</f>
        <v>50</v>
      </c>
      <c r="J12" s="19"/>
    </row>
    <row r="13" ht="20" customHeight="1" spans="1:10">
      <c r="A13" s="10" t="s">
        <v>118</v>
      </c>
      <c r="B13" s="10" t="s">
        <v>119</v>
      </c>
      <c r="C13" s="10" t="s">
        <v>109</v>
      </c>
      <c r="D13" s="12" t="s">
        <v>94</v>
      </c>
      <c r="E13" s="12"/>
      <c r="F13" s="13">
        <v>260</v>
      </c>
      <c r="G13" s="13">
        <v>1</v>
      </c>
      <c r="H13" s="13">
        <f t="shared" si="0"/>
        <v>260</v>
      </c>
      <c r="I13" s="11">
        <f>H13+H14+H15</f>
        <v>860</v>
      </c>
      <c r="J13" s="19"/>
    </row>
    <row r="14" ht="20" customHeight="1" spans="1:10">
      <c r="A14" s="10"/>
      <c r="B14" s="10" t="s">
        <v>120</v>
      </c>
      <c r="C14" s="10" t="s">
        <v>104</v>
      </c>
      <c r="D14" s="10" t="s">
        <v>121</v>
      </c>
      <c r="E14" s="10"/>
      <c r="F14" s="13">
        <v>150</v>
      </c>
      <c r="G14" s="13">
        <v>2</v>
      </c>
      <c r="H14" s="13">
        <f t="shared" si="0"/>
        <v>300</v>
      </c>
      <c r="I14" s="11"/>
      <c r="J14" s="19"/>
    </row>
    <row r="15" ht="20" customHeight="1" spans="1:10">
      <c r="A15" s="10"/>
      <c r="B15" s="10" t="s">
        <v>122</v>
      </c>
      <c r="C15" s="10" t="s">
        <v>104</v>
      </c>
      <c r="D15" s="10" t="s">
        <v>121</v>
      </c>
      <c r="E15" s="10"/>
      <c r="F15" s="13">
        <v>150</v>
      </c>
      <c r="G15" s="13">
        <v>2</v>
      </c>
      <c r="H15" s="13">
        <f t="shared" si="0"/>
        <v>300</v>
      </c>
      <c r="I15" s="11"/>
      <c r="J15" s="19"/>
    </row>
    <row r="16" ht="20" customHeight="1" spans="1:10">
      <c r="A16" s="14" t="s">
        <v>123</v>
      </c>
      <c r="B16" s="10" t="s">
        <v>124</v>
      </c>
      <c r="C16" s="10" t="s">
        <v>104</v>
      </c>
      <c r="D16" s="12" t="s">
        <v>94</v>
      </c>
      <c r="E16" s="12"/>
      <c r="F16" s="13">
        <v>180</v>
      </c>
      <c r="G16" s="10">
        <v>1</v>
      </c>
      <c r="H16" s="13">
        <f t="shared" si="0"/>
        <v>180</v>
      </c>
      <c r="I16" s="11">
        <f>H16+H17</f>
        <v>260</v>
      </c>
      <c r="J16" s="19"/>
    </row>
    <row r="17" ht="20" customHeight="1" spans="1:10">
      <c r="A17" s="14"/>
      <c r="B17" s="10" t="s">
        <v>125</v>
      </c>
      <c r="C17" s="10" t="s">
        <v>104</v>
      </c>
      <c r="D17" s="12" t="s">
        <v>94</v>
      </c>
      <c r="E17" s="12"/>
      <c r="F17" s="13">
        <v>80</v>
      </c>
      <c r="G17" s="10">
        <v>1</v>
      </c>
      <c r="H17" s="13">
        <f t="shared" si="0"/>
        <v>80</v>
      </c>
      <c r="I17" s="11"/>
      <c r="J17" s="19"/>
    </row>
    <row r="18" ht="20" customHeight="1" spans="1:10">
      <c r="A18" s="10" t="s">
        <v>126</v>
      </c>
      <c r="B18" s="10" t="s">
        <v>127</v>
      </c>
      <c r="C18" s="10" t="s">
        <v>109</v>
      </c>
      <c r="D18" s="10" t="s">
        <v>117</v>
      </c>
      <c r="E18" s="10"/>
      <c r="F18" s="13">
        <v>20</v>
      </c>
      <c r="G18" s="10">
        <v>1</v>
      </c>
      <c r="H18" s="13">
        <f t="shared" si="0"/>
        <v>20</v>
      </c>
      <c r="I18" s="11">
        <f>H18+H19+H20+H21+H22</f>
        <v>282</v>
      </c>
      <c r="J18" s="19"/>
    </row>
    <row r="19" ht="20" customHeight="1" spans="1:10">
      <c r="A19" s="10"/>
      <c r="B19" s="10" t="s">
        <v>128</v>
      </c>
      <c r="C19" s="10" t="s">
        <v>109</v>
      </c>
      <c r="D19" s="10" t="s">
        <v>117</v>
      </c>
      <c r="E19" s="10"/>
      <c r="F19" s="13">
        <v>250</v>
      </c>
      <c r="G19" s="10">
        <v>1</v>
      </c>
      <c r="H19" s="13">
        <f t="shared" si="0"/>
        <v>250</v>
      </c>
      <c r="I19" s="11"/>
      <c r="J19" s="19"/>
    </row>
    <row r="20" ht="20" customHeight="1" spans="1:10">
      <c r="A20" s="10"/>
      <c r="B20" s="10" t="s">
        <v>129</v>
      </c>
      <c r="C20" s="10" t="s">
        <v>109</v>
      </c>
      <c r="D20" s="12" t="s">
        <v>94</v>
      </c>
      <c r="E20" s="12"/>
      <c r="F20" s="13">
        <v>5</v>
      </c>
      <c r="G20" s="10">
        <v>1</v>
      </c>
      <c r="H20" s="13">
        <f t="shared" si="0"/>
        <v>5</v>
      </c>
      <c r="I20" s="11"/>
      <c r="J20" s="19"/>
    </row>
    <row r="21" ht="20" customHeight="1" spans="1:10">
      <c r="A21" s="10"/>
      <c r="B21" s="10" t="s">
        <v>130</v>
      </c>
      <c r="C21" s="10" t="s">
        <v>109</v>
      </c>
      <c r="D21" s="12" t="s">
        <v>94</v>
      </c>
      <c r="E21" s="12"/>
      <c r="F21" s="13">
        <v>2</v>
      </c>
      <c r="G21" s="10">
        <v>1</v>
      </c>
      <c r="H21" s="13">
        <f t="shared" si="0"/>
        <v>2</v>
      </c>
      <c r="I21" s="11"/>
      <c r="J21" s="19"/>
    </row>
    <row r="22" ht="20" customHeight="1" spans="1:10">
      <c r="A22" s="10"/>
      <c r="B22" s="10" t="s">
        <v>131</v>
      </c>
      <c r="C22" s="10" t="s">
        <v>109</v>
      </c>
      <c r="D22" s="12" t="s">
        <v>94</v>
      </c>
      <c r="E22" s="12"/>
      <c r="F22" s="13">
        <v>5</v>
      </c>
      <c r="G22" s="10">
        <v>1</v>
      </c>
      <c r="H22" s="13">
        <f t="shared" si="0"/>
        <v>5</v>
      </c>
      <c r="I22" s="11"/>
      <c r="J22" s="19"/>
    </row>
    <row r="23" ht="20" customHeight="1" spans="1:10">
      <c r="A23" s="10" t="s">
        <v>132</v>
      </c>
      <c r="B23" s="10" t="s">
        <v>133</v>
      </c>
      <c r="C23" s="10" t="s">
        <v>109</v>
      </c>
      <c r="D23" s="10" t="s">
        <v>117</v>
      </c>
      <c r="E23" s="10"/>
      <c r="F23" s="13">
        <v>20</v>
      </c>
      <c r="G23" s="10">
        <v>1</v>
      </c>
      <c r="H23" s="13">
        <f t="shared" ref="H23:H30" si="1">F23*G23</f>
        <v>20</v>
      </c>
      <c r="I23" s="11">
        <f>H23+H24</f>
        <v>40</v>
      </c>
      <c r="J23" s="19"/>
    </row>
    <row r="24" ht="20" customHeight="1" spans="1:10">
      <c r="A24" s="14"/>
      <c r="B24" s="10" t="s">
        <v>134</v>
      </c>
      <c r="C24" s="10" t="s">
        <v>109</v>
      </c>
      <c r="D24" s="12" t="s">
        <v>135</v>
      </c>
      <c r="E24" s="12"/>
      <c r="F24" s="10">
        <v>20</v>
      </c>
      <c r="G24" s="10">
        <v>1</v>
      </c>
      <c r="H24" s="13">
        <f t="shared" si="1"/>
        <v>20</v>
      </c>
      <c r="I24" s="11"/>
      <c r="J24" s="19"/>
    </row>
    <row r="25" ht="20" customHeight="1" spans="1:11">
      <c r="A25" s="14" t="s">
        <v>136</v>
      </c>
      <c r="B25" s="10" t="s">
        <v>137</v>
      </c>
      <c r="C25" s="16" t="s">
        <v>138</v>
      </c>
      <c r="D25" s="10" t="s">
        <v>139</v>
      </c>
      <c r="E25" s="10"/>
      <c r="F25" s="10">
        <v>20</v>
      </c>
      <c r="G25" s="10">
        <v>1</v>
      </c>
      <c r="H25" s="13">
        <f t="shared" si="1"/>
        <v>20</v>
      </c>
      <c r="I25" s="11">
        <f>H25+H26</f>
        <v>35</v>
      </c>
      <c r="J25" s="8" t="s">
        <v>140</v>
      </c>
      <c r="K25" s="20"/>
    </row>
    <row r="26" ht="20" customHeight="1" spans="1:11">
      <c r="A26" s="14"/>
      <c r="B26" s="10" t="s">
        <v>141</v>
      </c>
      <c r="C26" s="16" t="s">
        <v>138</v>
      </c>
      <c r="D26" s="10" t="s">
        <v>139</v>
      </c>
      <c r="E26" s="10"/>
      <c r="F26" s="10">
        <v>15</v>
      </c>
      <c r="G26" s="10">
        <v>1</v>
      </c>
      <c r="H26" s="13">
        <f t="shared" si="1"/>
        <v>15</v>
      </c>
      <c r="I26" s="11"/>
      <c r="J26" s="8" t="s">
        <v>140</v>
      </c>
      <c r="K26" s="20"/>
    </row>
    <row r="27" ht="20" customHeight="1" spans="1:11">
      <c r="A27" s="14" t="s">
        <v>142</v>
      </c>
      <c r="B27" s="14" t="s">
        <v>143</v>
      </c>
      <c r="C27" s="17" t="s">
        <v>144</v>
      </c>
      <c r="D27" s="14" t="s">
        <v>145</v>
      </c>
      <c r="E27" s="14"/>
      <c r="F27" s="10">
        <v>50</v>
      </c>
      <c r="G27" s="14">
        <v>1</v>
      </c>
      <c r="H27" s="13">
        <f t="shared" si="1"/>
        <v>50</v>
      </c>
      <c r="I27" s="11">
        <f>H27</f>
        <v>50</v>
      </c>
      <c r="J27" s="8" t="s">
        <v>140</v>
      </c>
      <c r="K27" s="20"/>
    </row>
    <row r="28" ht="20" customHeight="1" spans="1:10">
      <c r="A28" s="14" t="s">
        <v>146</v>
      </c>
      <c r="B28" s="14" t="s">
        <v>147</v>
      </c>
      <c r="C28" s="14" t="s">
        <v>148</v>
      </c>
      <c r="D28" s="14" t="s">
        <v>94</v>
      </c>
      <c r="E28" s="14"/>
      <c r="F28" s="10">
        <v>20</v>
      </c>
      <c r="G28" s="14">
        <v>1</v>
      </c>
      <c r="H28" s="13">
        <f t="shared" si="1"/>
        <v>20</v>
      </c>
      <c r="I28" s="11">
        <f>H28</f>
        <v>20</v>
      </c>
      <c r="J28" s="19"/>
    </row>
    <row r="29" ht="20" customHeight="1" spans="1:10">
      <c r="A29" s="10" t="s">
        <v>149</v>
      </c>
      <c r="B29" s="10" t="s">
        <v>133</v>
      </c>
      <c r="C29" s="10" t="s">
        <v>109</v>
      </c>
      <c r="D29" s="10" t="s">
        <v>117</v>
      </c>
      <c r="E29" s="10"/>
      <c r="F29" s="13">
        <v>20</v>
      </c>
      <c r="G29" s="10">
        <v>1</v>
      </c>
      <c r="H29" s="13">
        <f t="shared" si="1"/>
        <v>20</v>
      </c>
      <c r="I29" s="11">
        <f>H29+H30</f>
        <v>40</v>
      </c>
      <c r="J29" s="19"/>
    </row>
    <row r="30" ht="20" customHeight="1" spans="1:10">
      <c r="A30" s="14"/>
      <c r="B30" s="10" t="s">
        <v>134</v>
      </c>
      <c r="C30" s="10" t="s">
        <v>109</v>
      </c>
      <c r="D30" s="10" t="s">
        <v>117</v>
      </c>
      <c r="E30" s="10"/>
      <c r="F30" s="10">
        <v>20</v>
      </c>
      <c r="G30" s="10">
        <v>1</v>
      </c>
      <c r="H30" s="13">
        <f t="shared" si="1"/>
        <v>20</v>
      </c>
      <c r="I30" s="11"/>
      <c r="J30" s="19"/>
    </row>
    <row r="31" ht="20" customHeight="1" spans="1:10">
      <c r="A31" s="14" t="s">
        <v>150</v>
      </c>
      <c r="B31" s="10" t="s">
        <v>137</v>
      </c>
      <c r="C31" s="16" t="s">
        <v>138</v>
      </c>
      <c r="D31" s="10" t="s">
        <v>139</v>
      </c>
      <c r="E31" s="10"/>
      <c r="F31" s="10">
        <v>20</v>
      </c>
      <c r="G31" s="10">
        <v>1</v>
      </c>
      <c r="H31" s="13">
        <f t="shared" ref="H31:H54" si="2">F31*G31</f>
        <v>20</v>
      </c>
      <c r="I31" s="11">
        <f>H31+H32</f>
        <v>35</v>
      </c>
      <c r="J31" s="8" t="s">
        <v>140</v>
      </c>
    </row>
    <row r="32" ht="20" customHeight="1" spans="1:10">
      <c r="A32" s="14"/>
      <c r="B32" s="10" t="s">
        <v>141</v>
      </c>
      <c r="C32" s="16" t="s">
        <v>138</v>
      </c>
      <c r="D32" s="10" t="s">
        <v>139</v>
      </c>
      <c r="E32" s="10"/>
      <c r="F32" s="10">
        <v>15</v>
      </c>
      <c r="G32" s="10">
        <v>1</v>
      </c>
      <c r="H32" s="13">
        <f t="shared" si="2"/>
        <v>15</v>
      </c>
      <c r="I32" s="11"/>
      <c r="J32" s="8" t="s">
        <v>140</v>
      </c>
    </row>
    <row r="33" ht="20" customHeight="1" spans="1:10">
      <c r="A33" s="14" t="s">
        <v>151</v>
      </c>
      <c r="B33" s="10" t="s">
        <v>152</v>
      </c>
      <c r="C33" s="16" t="s">
        <v>138</v>
      </c>
      <c r="D33" s="10" t="s">
        <v>153</v>
      </c>
      <c r="E33" s="10"/>
      <c r="F33" s="10">
        <v>50</v>
      </c>
      <c r="G33" s="10">
        <v>1</v>
      </c>
      <c r="H33" s="13">
        <f t="shared" si="2"/>
        <v>50</v>
      </c>
      <c r="I33" s="11">
        <f>H33</f>
        <v>50</v>
      </c>
      <c r="J33" s="8" t="s">
        <v>140</v>
      </c>
    </row>
    <row r="34" ht="20" customHeight="1" spans="1:10">
      <c r="A34" s="14" t="s">
        <v>154</v>
      </c>
      <c r="B34" s="10" t="s">
        <v>155</v>
      </c>
      <c r="C34" s="10" t="s">
        <v>109</v>
      </c>
      <c r="D34" s="12" t="s">
        <v>94</v>
      </c>
      <c r="E34" s="12"/>
      <c r="F34" s="10">
        <v>20</v>
      </c>
      <c r="G34" s="10">
        <v>1</v>
      </c>
      <c r="H34" s="13">
        <f t="shared" si="2"/>
        <v>20</v>
      </c>
      <c r="I34" s="11">
        <f>H34</f>
        <v>20</v>
      </c>
      <c r="J34" s="19"/>
    </row>
    <row r="35" ht="20" customHeight="1" spans="1:10">
      <c r="A35" s="10" t="s">
        <v>156</v>
      </c>
      <c r="B35" s="10" t="s">
        <v>157</v>
      </c>
      <c r="C35" s="10" t="s">
        <v>109</v>
      </c>
      <c r="D35" s="12" t="s">
        <v>94</v>
      </c>
      <c r="E35" s="12"/>
      <c r="F35" s="13">
        <v>20</v>
      </c>
      <c r="G35" s="10">
        <v>1</v>
      </c>
      <c r="H35" s="13">
        <f t="shared" si="2"/>
        <v>20</v>
      </c>
      <c r="I35" s="11">
        <f>H35+H36+H37+H38</f>
        <v>1430</v>
      </c>
      <c r="J35" s="19"/>
    </row>
    <row r="36" ht="20" customHeight="1" spans="1:10">
      <c r="A36" s="10"/>
      <c r="B36" s="10" t="s">
        <v>158</v>
      </c>
      <c r="C36" s="16" t="s">
        <v>138</v>
      </c>
      <c r="D36" s="10" t="s">
        <v>139</v>
      </c>
      <c r="E36" s="10"/>
      <c r="F36" s="13">
        <v>200</v>
      </c>
      <c r="G36" s="10">
        <v>6</v>
      </c>
      <c r="H36" s="13">
        <f t="shared" si="2"/>
        <v>1200</v>
      </c>
      <c r="I36" s="11"/>
      <c r="J36" s="8"/>
    </row>
    <row r="37" ht="20" customHeight="1" spans="1:10">
      <c r="A37" s="10"/>
      <c r="B37" s="10" t="s">
        <v>159</v>
      </c>
      <c r="C37" s="16" t="s">
        <v>138</v>
      </c>
      <c r="D37" s="10" t="s">
        <v>117</v>
      </c>
      <c r="E37" s="10"/>
      <c r="F37" s="13">
        <v>200</v>
      </c>
      <c r="G37" s="10">
        <v>1</v>
      </c>
      <c r="H37" s="13">
        <f t="shared" si="2"/>
        <v>200</v>
      </c>
      <c r="I37" s="11"/>
      <c r="J37" s="8"/>
    </row>
    <row r="38" ht="20" customHeight="1" spans="1:10">
      <c r="A38" s="10"/>
      <c r="B38" s="10" t="s">
        <v>160</v>
      </c>
      <c r="C38" s="16" t="s">
        <v>138</v>
      </c>
      <c r="D38" s="10" t="s">
        <v>117</v>
      </c>
      <c r="E38" s="10"/>
      <c r="F38" s="13">
        <v>10</v>
      </c>
      <c r="G38" s="10">
        <v>1</v>
      </c>
      <c r="H38" s="13">
        <f t="shared" si="2"/>
        <v>10</v>
      </c>
      <c r="I38" s="11"/>
      <c r="J38" s="8"/>
    </row>
    <row r="39" ht="20" customHeight="1" spans="1:10">
      <c r="A39" s="10" t="s">
        <v>161</v>
      </c>
      <c r="B39" s="10" t="s">
        <v>162</v>
      </c>
      <c r="C39" s="10" t="s">
        <v>109</v>
      </c>
      <c r="D39" s="12" t="s">
        <v>94</v>
      </c>
      <c r="E39" s="12"/>
      <c r="F39" s="13">
        <v>80</v>
      </c>
      <c r="G39" s="10">
        <v>1</v>
      </c>
      <c r="H39" s="13">
        <f t="shared" si="2"/>
        <v>80</v>
      </c>
      <c r="I39" s="11">
        <f>H39+H40+H41+H42+H43</f>
        <v>2184</v>
      </c>
      <c r="J39" s="19"/>
    </row>
    <row r="40" ht="20" customHeight="1" spans="1:10">
      <c r="A40" s="10"/>
      <c r="B40" s="10" t="s">
        <v>163</v>
      </c>
      <c r="C40" s="10" t="s">
        <v>104</v>
      </c>
      <c r="D40" s="12" t="s">
        <v>94</v>
      </c>
      <c r="E40" s="12"/>
      <c r="F40" s="13">
        <v>100</v>
      </c>
      <c r="G40" s="10">
        <v>1</v>
      </c>
      <c r="H40" s="13">
        <f t="shared" si="2"/>
        <v>100</v>
      </c>
      <c r="I40" s="11"/>
      <c r="J40" s="19"/>
    </row>
    <row r="41" ht="20" customHeight="1" spans="1:10">
      <c r="A41" s="10"/>
      <c r="B41" s="10" t="s">
        <v>164</v>
      </c>
      <c r="C41" s="10" t="s">
        <v>109</v>
      </c>
      <c r="D41" s="12" t="s">
        <v>94</v>
      </c>
      <c r="E41" s="12"/>
      <c r="F41" s="13">
        <v>2000</v>
      </c>
      <c r="G41" s="10">
        <v>1</v>
      </c>
      <c r="H41" s="13">
        <f t="shared" si="2"/>
        <v>2000</v>
      </c>
      <c r="I41" s="11"/>
      <c r="J41" s="19"/>
    </row>
    <row r="42" ht="20" customHeight="1" spans="1:10">
      <c r="A42" s="10"/>
      <c r="B42" s="10" t="s">
        <v>165</v>
      </c>
      <c r="C42" s="10" t="s">
        <v>109</v>
      </c>
      <c r="D42" s="12" t="s">
        <v>94</v>
      </c>
      <c r="E42" s="12"/>
      <c r="F42" s="13">
        <v>2</v>
      </c>
      <c r="G42" s="10">
        <v>1</v>
      </c>
      <c r="H42" s="13">
        <f t="shared" si="2"/>
        <v>2</v>
      </c>
      <c r="I42" s="11"/>
      <c r="J42" s="19"/>
    </row>
    <row r="43" ht="20" customHeight="1" spans="1:10">
      <c r="A43" s="10"/>
      <c r="B43" s="10" t="s">
        <v>166</v>
      </c>
      <c r="C43" s="10" t="s">
        <v>109</v>
      </c>
      <c r="D43" s="12" t="s">
        <v>94</v>
      </c>
      <c r="E43" s="12"/>
      <c r="F43" s="13">
        <v>2</v>
      </c>
      <c r="G43" s="10">
        <v>1</v>
      </c>
      <c r="H43" s="13">
        <f t="shared" si="2"/>
        <v>2</v>
      </c>
      <c r="I43" s="11"/>
      <c r="J43" s="19"/>
    </row>
    <row r="44" ht="20" customHeight="1" spans="1:10">
      <c r="A44" s="10" t="s">
        <v>167</v>
      </c>
      <c r="B44" s="10" t="s">
        <v>133</v>
      </c>
      <c r="C44" s="10" t="s">
        <v>109</v>
      </c>
      <c r="D44" s="10" t="s">
        <v>117</v>
      </c>
      <c r="E44" s="10"/>
      <c r="F44" s="13">
        <v>20</v>
      </c>
      <c r="G44" s="10">
        <v>1</v>
      </c>
      <c r="H44" s="13">
        <f t="shared" si="2"/>
        <v>20</v>
      </c>
      <c r="I44" s="11">
        <f>H44+H45+H46+H47+H48+H49+H50</f>
        <v>490</v>
      </c>
      <c r="J44" s="19"/>
    </row>
    <row r="45" ht="20" customHeight="1" spans="1:10">
      <c r="A45" s="10"/>
      <c r="B45" s="10" t="s">
        <v>134</v>
      </c>
      <c r="C45" s="10" t="s">
        <v>109</v>
      </c>
      <c r="D45" s="10" t="s">
        <v>117</v>
      </c>
      <c r="E45" s="10"/>
      <c r="F45" s="10">
        <v>20</v>
      </c>
      <c r="G45" s="10">
        <v>1</v>
      </c>
      <c r="H45" s="13">
        <f t="shared" si="2"/>
        <v>20</v>
      </c>
      <c r="I45" s="11"/>
      <c r="J45" s="19"/>
    </row>
    <row r="46" ht="20" customHeight="1" spans="1:10">
      <c r="A46" s="10"/>
      <c r="B46" s="10" t="s">
        <v>137</v>
      </c>
      <c r="C46" s="10" t="s">
        <v>104</v>
      </c>
      <c r="D46" s="10" t="s">
        <v>139</v>
      </c>
      <c r="E46" s="10"/>
      <c r="F46" s="10">
        <v>20</v>
      </c>
      <c r="G46" s="10">
        <v>6</v>
      </c>
      <c r="H46" s="13">
        <f t="shared" si="2"/>
        <v>120</v>
      </c>
      <c r="I46" s="11"/>
      <c r="J46" s="19"/>
    </row>
    <row r="47" ht="20" customHeight="1" spans="1:10">
      <c r="A47" s="10"/>
      <c r="B47" s="10" t="s">
        <v>141</v>
      </c>
      <c r="C47" s="10" t="s">
        <v>104</v>
      </c>
      <c r="D47" s="10" t="s">
        <v>139</v>
      </c>
      <c r="E47" s="10"/>
      <c r="F47" s="10">
        <v>15</v>
      </c>
      <c r="G47" s="10">
        <v>6</v>
      </c>
      <c r="H47" s="13">
        <f t="shared" si="2"/>
        <v>90</v>
      </c>
      <c r="I47" s="11"/>
      <c r="J47" s="19"/>
    </row>
    <row r="48" ht="20" customHeight="1" spans="1:10">
      <c r="A48" s="10"/>
      <c r="B48" s="10" t="s">
        <v>152</v>
      </c>
      <c r="C48" s="10" t="s">
        <v>104</v>
      </c>
      <c r="D48" s="10" t="s">
        <v>153</v>
      </c>
      <c r="E48" s="10"/>
      <c r="F48" s="10">
        <v>50</v>
      </c>
      <c r="G48" s="10">
        <v>4</v>
      </c>
      <c r="H48" s="13">
        <f t="shared" si="2"/>
        <v>200</v>
      </c>
      <c r="I48" s="11"/>
      <c r="J48" s="19"/>
    </row>
    <row r="49" ht="20" customHeight="1" spans="1:10">
      <c r="A49" s="10"/>
      <c r="B49" s="10" t="s">
        <v>155</v>
      </c>
      <c r="C49" s="10" t="s">
        <v>109</v>
      </c>
      <c r="D49" s="12" t="s">
        <v>94</v>
      </c>
      <c r="E49" s="12"/>
      <c r="F49" s="10">
        <v>20</v>
      </c>
      <c r="G49" s="10">
        <v>1</v>
      </c>
      <c r="H49" s="13">
        <f t="shared" si="2"/>
        <v>20</v>
      </c>
      <c r="I49" s="11"/>
      <c r="J49" s="19"/>
    </row>
    <row r="50" ht="20" customHeight="1" spans="1:10">
      <c r="A50" s="10"/>
      <c r="B50" s="10" t="s">
        <v>168</v>
      </c>
      <c r="C50" s="10" t="s">
        <v>104</v>
      </c>
      <c r="D50" s="12"/>
      <c r="E50" s="12"/>
      <c r="F50" s="10">
        <v>20</v>
      </c>
      <c r="G50" s="10">
        <v>1</v>
      </c>
      <c r="H50" s="13">
        <f t="shared" si="2"/>
        <v>20</v>
      </c>
      <c r="I50" s="11"/>
      <c r="J50" s="19"/>
    </row>
    <row r="51" ht="20" customHeight="1" spans="1:10">
      <c r="A51" s="10" t="s">
        <v>169</v>
      </c>
      <c r="B51" s="10" t="s">
        <v>170</v>
      </c>
      <c r="C51" s="10" t="s">
        <v>104</v>
      </c>
      <c r="D51" s="10" t="s">
        <v>117</v>
      </c>
      <c r="E51" s="10"/>
      <c r="F51" s="13">
        <v>5</v>
      </c>
      <c r="G51" s="10">
        <v>1</v>
      </c>
      <c r="H51" s="13">
        <f t="shared" si="2"/>
        <v>5</v>
      </c>
      <c r="I51" s="13">
        <f>H51+H52</f>
        <v>20</v>
      </c>
      <c r="J51" s="19"/>
    </row>
    <row r="52" ht="20" customHeight="1" spans="1:10">
      <c r="A52" s="14"/>
      <c r="B52" s="10" t="s">
        <v>171</v>
      </c>
      <c r="C52" s="10" t="s">
        <v>104</v>
      </c>
      <c r="D52" s="10" t="s">
        <v>117</v>
      </c>
      <c r="E52" s="10"/>
      <c r="F52" s="13">
        <v>15</v>
      </c>
      <c r="G52" s="10">
        <v>1</v>
      </c>
      <c r="H52" s="13">
        <f t="shared" si="2"/>
        <v>15</v>
      </c>
      <c r="I52" s="13"/>
      <c r="J52" s="19"/>
    </row>
    <row r="53" ht="20" customHeight="1" spans="1:10">
      <c r="A53" s="11" t="s">
        <v>172</v>
      </c>
      <c r="B53" s="10" t="s">
        <v>173</v>
      </c>
      <c r="C53" s="10" t="s">
        <v>104</v>
      </c>
      <c r="D53" s="10" t="s">
        <v>139</v>
      </c>
      <c r="E53" s="10"/>
      <c r="F53" s="13">
        <v>5</v>
      </c>
      <c r="G53" s="10">
        <v>6</v>
      </c>
      <c r="H53" s="13">
        <f t="shared" si="2"/>
        <v>30</v>
      </c>
      <c r="I53" s="13">
        <f>H53+H54</f>
        <v>120</v>
      </c>
      <c r="J53" s="19"/>
    </row>
    <row r="54" ht="20" customHeight="1" spans="1:10">
      <c r="A54" s="11"/>
      <c r="B54" s="10" t="s">
        <v>174</v>
      </c>
      <c r="C54" s="10" t="s">
        <v>104</v>
      </c>
      <c r="D54" s="10" t="s">
        <v>139</v>
      </c>
      <c r="E54" s="10"/>
      <c r="F54" s="13">
        <v>15</v>
      </c>
      <c r="G54" s="10">
        <v>6</v>
      </c>
      <c r="H54" s="13">
        <f t="shared" si="2"/>
        <v>90</v>
      </c>
      <c r="I54" s="13"/>
      <c r="J54" s="19"/>
    </row>
    <row r="55" ht="34" customHeight="1" spans="1:9">
      <c r="A55" s="18" t="s">
        <v>175</v>
      </c>
      <c r="B55" s="18"/>
      <c r="C55" s="18"/>
      <c r="D55" s="18"/>
      <c r="E55" s="18"/>
      <c r="F55" s="18"/>
      <c r="G55" s="18"/>
      <c r="H55" s="18"/>
      <c r="I55" s="18"/>
    </row>
  </sheetData>
  <mergeCells count="85">
    <mergeCell ref="A1:I1"/>
    <mergeCell ref="D2:E2"/>
    <mergeCell ref="D3:E3"/>
    <mergeCell ref="D4:E4"/>
    <mergeCell ref="D5:E5"/>
    <mergeCell ref="D6:E6"/>
    <mergeCell ref="D7:E7"/>
    <mergeCell ref="D8:E8"/>
    <mergeCell ref="D9:E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A55:I55"/>
    <mergeCell ref="A3:A5"/>
    <mergeCell ref="A6:A7"/>
    <mergeCell ref="A8:A9"/>
    <mergeCell ref="A13:A15"/>
    <mergeCell ref="A16:A17"/>
    <mergeCell ref="A18:A22"/>
    <mergeCell ref="A23:A24"/>
    <mergeCell ref="A25:A26"/>
    <mergeCell ref="A29:A30"/>
    <mergeCell ref="A31:A32"/>
    <mergeCell ref="A35:A38"/>
    <mergeCell ref="A39:A43"/>
    <mergeCell ref="A44:A50"/>
    <mergeCell ref="A51:A52"/>
    <mergeCell ref="A53:A54"/>
    <mergeCell ref="D10:D11"/>
    <mergeCell ref="I3:I5"/>
    <mergeCell ref="I6:I7"/>
    <mergeCell ref="I8:I9"/>
    <mergeCell ref="I13:I15"/>
    <mergeCell ref="I16:I17"/>
    <mergeCell ref="I18:I22"/>
    <mergeCell ref="I23:I24"/>
    <mergeCell ref="I25:I26"/>
    <mergeCell ref="I29:I30"/>
    <mergeCell ref="I31:I32"/>
    <mergeCell ref="I35:I38"/>
    <mergeCell ref="I39:I43"/>
    <mergeCell ref="I44:I50"/>
    <mergeCell ref="I51:I52"/>
    <mergeCell ref="I53:I54"/>
    <mergeCell ref="K25:K27"/>
  </mergeCells>
  <pageMargins left="0.7" right="0.7" top="0.75" bottom="0.75" header="0.3" footer="0.3"/>
  <pageSetup paperSize="9" scale="5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3" sqref="B3"/>
    </sheetView>
  </sheetViews>
  <sheetFormatPr defaultColWidth="9" defaultRowHeight="20" customHeight="1" outlineLevelCol="3"/>
  <cols>
    <col min="1" max="1" width="32" style="1" customWidth="1"/>
    <col min="2" max="2" width="42.125" style="1" customWidth="1"/>
    <col min="3" max="3" width="29.75" style="1" customWidth="1"/>
    <col min="4" max="4" width="19.125" customWidth="1"/>
  </cols>
  <sheetData>
    <row r="1" customHeight="1" spans="1:4">
      <c r="A1" s="2" t="s">
        <v>176</v>
      </c>
      <c r="B1" s="2" t="s">
        <v>177</v>
      </c>
      <c r="C1" s="2" t="s">
        <v>178</v>
      </c>
      <c r="D1" s="3"/>
    </row>
    <row r="2" customHeight="1" spans="1:4">
      <c r="A2" s="2" t="s">
        <v>179</v>
      </c>
      <c r="B2" s="4" t="s">
        <v>180</v>
      </c>
      <c r="C2" s="2" t="s">
        <v>181</v>
      </c>
      <c r="D2" s="3"/>
    </row>
    <row r="3" customHeight="1" spans="1:4">
      <c r="A3" s="2" t="s">
        <v>182</v>
      </c>
      <c r="B3" s="4" t="s">
        <v>183</v>
      </c>
      <c r="C3" s="2"/>
      <c r="D3" s="3"/>
    </row>
    <row r="4" customHeight="1" spans="1:4">
      <c r="A4" s="2" t="s">
        <v>184</v>
      </c>
      <c r="B4" s="4" t="s">
        <v>183</v>
      </c>
      <c r="C4" s="2"/>
      <c r="D4" s="3"/>
    </row>
    <row r="5" customHeight="1" spans="1:4">
      <c r="A5" s="2" t="s">
        <v>185</v>
      </c>
      <c r="B5" s="4" t="s">
        <v>183</v>
      </c>
      <c r="C5" s="2"/>
      <c r="D5" s="3"/>
    </row>
    <row r="6" customHeight="1" spans="1:4">
      <c r="A6" s="2" t="s">
        <v>186</v>
      </c>
      <c r="B6" s="2" t="s">
        <v>187</v>
      </c>
      <c r="C6" s="4" t="s">
        <v>188</v>
      </c>
      <c r="D6" s="3"/>
    </row>
    <row r="7" customHeight="1" spans="1:4">
      <c r="A7" s="2" t="s">
        <v>189</v>
      </c>
      <c r="B7" s="2" t="s">
        <v>187</v>
      </c>
      <c r="C7" s="2" t="s">
        <v>190</v>
      </c>
      <c r="D7" s="3"/>
    </row>
    <row r="8" customHeight="1" spans="1:4">
      <c r="A8" s="2" t="s">
        <v>191</v>
      </c>
      <c r="B8" s="2" t="s">
        <v>187</v>
      </c>
      <c r="C8" s="2" t="s">
        <v>192</v>
      </c>
      <c r="D8" s="3"/>
    </row>
    <row r="9" customHeight="1" spans="1:4">
      <c r="A9" s="2" t="s">
        <v>193</v>
      </c>
      <c r="B9" s="2" t="s">
        <v>194</v>
      </c>
      <c r="C9" s="4" t="s">
        <v>195</v>
      </c>
      <c r="D9" s="3" t="s">
        <v>196</v>
      </c>
    </row>
    <row r="10" customHeight="1" spans="1:4">
      <c r="A10" s="2" t="s">
        <v>197</v>
      </c>
      <c r="B10" s="2" t="s">
        <v>198</v>
      </c>
      <c r="C10" s="2" t="s">
        <v>199</v>
      </c>
      <c r="D10" s="3"/>
    </row>
    <row r="11" customHeight="1" spans="1:4">
      <c r="A11" s="2" t="s">
        <v>200</v>
      </c>
      <c r="B11" s="2" t="s">
        <v>201</v>
      </c>
      <c r="C11" s="2" t="s">
        <v>202</v>
      </c>
      <c r="D11" s="3"/>
    </row>
    <row r="12" customHeight="1" spans="1:4">
      <c r="A12" s="2" t="s">
        <v>203</v>
      </c>
      <c r="B12" s="2" t="s">
        <v>198</v>
      </c>
      <c r="C12" s="2" t="s">
        <v>204</v>
      </c>
      <c r="D12" s="3"/>
    </row>
    <row r="13" customHeight="1" spans="1:4">
      <c r="A13" s="2" t="s">
        <v>205</v>
      </c>
      <c r="B13" s="2" t="s">
        <v>206</v>
      </c>
      <c r="C13" s="2" t="s">
        <v>207</v>
      </c>
      <c r="D13" s="3"/>
    </row>
    <row r="14" customHeight="1" spans="1:4">
      <c r="A14" s="2" t="s">
        <v>208</v>
      </c>
      <c r="B14" s="2" t="s">
        <v>206</v>
      </c>
      <c r="C14" s="2" t="s">
        <v>207</v>
      </c>
      <c r="D14" s="3"/>
    </row>
    <row r="15" customHeight="1" spans="1:4">
      <c r="A15" s="2" t="s">
        <v>209</v>
      </c>
      <c r="B15" s="2" t="s">
        <v>201</v>
      </c>
      <c r="C15" s="2" t="s">
        <v>210</v>
      </c>
      <c r="D15" s="3"/>
    </row>
    <row r="16" customHeight="1" spans="1:4">
      <c r="A16" s="2" t="s">
        <v>211</v>
      </c>
      <c r="B16" s="2" t="s">
        <v>212</v>
      </c>
      <c r="C16" s="2" t="s">
        <v>213</v>
      </c>
      <c r="D16" s="3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2025年公卫资金预算表 (汇总，7.17修改) </vt:lpstr>
      <vt:lpstr>绩点计算</vt:lpstr>
      <vt:lpstr>数据来源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2023-09-08T08:59:00Z</dcterms:created>
  <dcterms:modified xsi:type="dcterms:W3CDTF">2025-08-13T00:17:35Z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153BACCFB2684FDE8026B4081C3D6794_13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